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180" windowHeight="7725" activeTab="1"/>
  </bookViews>
  <sheets>
    <sheet name="остановки УГО и город" sheetId="1" r:id="rId1"/>
    <sheet name="в составе дорог" sheetId="2" r:id="rId2"/>
    <sheet name="План ремонта" sheetId="3" r:id="rId3"/>
    <sheet name="в составе дорог (2)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<sst xmlns="http://schemas.openxmlformats.org/spreadsheetml/2006/main" count="3369" uniqueCount="1188">
  <si>
    <t>Улица Агеева (3 ост)</t>
  </si>
  <si>
    <t>1. Ост. ул. Агеева – Краснознамённая (кольцо)</t>
  </si>
  <si>
    <t>Улица Арсенева (1 ост)</t>
  </si>
  <si>
    <t xml:space="preserve">1. Ост. «Профилакторий» </t>
  </si>
  <si>
    <t>Улица Барабашевская (1 ост)</t>
  </si>
  <si>
    <t>1. Ост. «Барабашевская» (конечная)</t>
  </si>
  <si>
    <t>1. Ост. «Мишенная»</t>
  </si>
  <si>
    <t xml:space="preserve">2. Ост. «пос. Барановский» (конечная)  </t>
  </si>
  <si>
    <t>Улица Беляева (1 ост)</t>
  </si>
  <si>
    <t>1. Ост. «5 километр» (кольцо, конечная)</t>
  </si>
  <si>
    <t>Улица Бестужева (1 ост)</t>
  </si>
  <si>
    <t>1. Ост. «Бестужева»</t>
  </si>
  <si>
    <t>Улица проспект Блюхера (11 ост)</t>
  </si>
  <si>
    <t xml:space="preserve">1. Ост. «Блюхера» («болото», конечная) </t>
  </si>
  <si>
    <t>2. Ост. «ЖД больница» (ч.с.)</t>
  </si>
  <si>
    <t>3. Ост. «ЖД больница» (н.ч.с.)</t>
  </si>
  <si>
    <t>4. Ост. «ДК Чумака» (ч.с.)</t>
  </si>
  <si>
    <t>5. Ост. «ДК Чумака» (н.ч.с.)</t>
  </si>
  <si>
    <t>6. Ост. «С/х Академия» (ч.с.)</t>
  </si>
  <si>
    <t>7. Ост. «Заводская»</t>
  </si>
  <si>
    <t>8. Ост. «Русская»</t>
  </si>
  <si>
    <t xml:space="preserve">10. Ост. «НГЧ-5» (ч.с.) </t>
  </si>
  <si>
    <t>11. Ост. «НГЧ-5» (н.ч.с.)</t>
  </si>
  <si>
    <t>1. Ост. «Хенина сопка»</t>
  </si>
  <si>
    <t>2. Ост. «Рыб сбыт» (ч.с.)</t>
  </si>
  <si>
    <t>5. Ост. «Дальэнерго» (н.ч.с.)</t>
  </si>
  <si>
    <t>6. Ост. «Сах посёлок» «Аптека»</t>
  </si>
  <si>
    <t>7. Ост. «Белый лебедь»</t>
  </si>
  <si>
    <t xml:space="preserve">8. Ост. «КПП» Уссурийск – Владивосток (ч.с.) </t>
  </si>
  <si>
    <t xml:space="preserve">9. Ост. «КПП» Уссурийск – Владивосток (н.ч.с.) </t>
  </si>
  <si>
    <t>12. Ост. «Аэропорт» (ч.с.)</t>
  </si>
  <si>
    <t>13. Ост. «Аэропорт» (н.ч.с.)</t>
  </si>
  <si>
    <t>Улица Воровского (6 ост)</t>
  </si>
  <si>
    <t>1. Ост. «Воровского» (ч.с.)</t>
  </si>
  <si>
    <t>2. Ост. «Воровского» (н.ч.с.)</t>
  </si>
  <si>
    <t>3. Ост. «Русская» (ч.с.)</t>
  </si>
  <si>
    <t>4. Ост. «Русская» (н.ч.с.)</t>
  </si>
  <si>
    <t>5. Ост. «Магазин» (Балис) (ч.с.)</t>
  </si>
  <si>
    <t>6. Ост. «Магазин» (Балис) (н.ч.с.)</t>
  </si>
  <si>
    <t>Улица Вострецова (6 ост)</t>
  </si>
  <si>
    <t>1. Ост. «Вострецова» (ч.с.)</t>
  </si>
  <si>
    <t>2. Ост. «Вострецова» (н.ч.с.)</t>
  </si>
  <si>
    <t>3. Ост. «Почта» (ч.с.)</t>
  </si>
  <si>
    <t>4. Ост. «Почта» (н.ч.с.)</t>
  </si>
  <si>
    <t>5. Ост. «Пинегина» (ч.с.)</t>
  </si>
  <si>
    <t>6. Ост. «Пинегина» (н.ч.с.)</t>
  </si>
  <si>
    <t>Улица Выгонная (3 ост)</t>
  </si>
  <si>
    <t>1. Ост. «Супермаркет 5+»</t>
  </si>
  <si>
    <t>2. Ост. «Выгонная» (ч.с.)</t>
  </si>
  <si>
    <t>3. Ост. «Выгонная» (н.ч.с.)</t>
  </si>
  <si>
    <t>Улица Горького (8 ост)</t>
  </si>
  <si>
    <t>1. Ост. «Гор театр» (ч.с.)</t>
  </si>
  <si>
    <t>2. Ост. «Гор театр» (н.ч.с.)</t>
  </si>
  <si>
    <t>3. Ост. «Пушкина» (ч.с.)</t>
  </si>
  <si>
    <t>4. Ост. «Пушкина» (н.ч.с.)</t>
  </si>
  <si>
    <t>5. Ост. «Школа» (ч.с.)</t>
  </si>
  <si>
    <t>6. Ост. «Школа» (н.ч.с.)</t>
  </si>
  <si>
    <t>7. Ост. «Комарова» (ч.с.)</t>
  </si>
  <si>
    <t>8. Ост. «Комарова» (н.ч.с.)</t>
  </si>
  <si>
    <t>Улица Декабристов (1 ост)</t>
  </si>
  <si>
    <t>1. Ост. «Декабристов»</t>
  </si>
  <si>
    <t>Улица Ивасика (3 ост)</t>
  </si>
  <si>
    <t xml:space="preserve">1. Ост. «Ивасика» (ч.с.) </t>
  </si>
  <si>
    <t>2. Ост. «Ивасика» (н.ч.с.)</t>
  </si>
  <si>
    <t>3. Ост. «Мелькомбинат» (конечная)</t>
  </si>
  <si>
    <t>Улица Карбышева (3 ост)</t>
  </si>
  <si>
    <t xml:space="preserve">2. Ост. «Почта» (ч.с.) </t>
  </si>
  <si>
    <t>3. Ост. «Почта» (н.ч.с.)</t>
  </si>
  <si>
    <t>Улица Колхозная (4 ост)</t>
  </si>
  <si>
    <t>Улица Краснознамённая (3 ост)</t>
  </si>
  <si>
    <t>1. Ост. ул. Краснознамённая – Агеева (кольцо)</t>
  </si>
  <si>
    <t>2. Ост. «Краснознамённая» (ч.с.)</t>
  </si>
  <si>
    <t>3. Ост. «Краснознамённая» (н.ч.с.)</t>
  </si>
  <si>
    <t>1. Ост. «Дружба»</t>
  </si>
  <si>
    <t>2. Ост. «АКСО»</t>
  </si>
  <si>
    <t>3. Ост. «Резервная» (конечная)</t>
  </si>
  <si>
    <t>Улица Ленина (5 ост)</t>
  </si>
  <si>
    <t>1. Ост. «Школа»</t>
  </si>
  <si>
    <t>Улица Ленинградская (9 ост)</t>
  </si>
  <si>
    <t>1. Ост. «Хлебозавод» (ч.с.)</t>
  </si>
  <si>
    <t>2. Ост. «Хлебозавод» (н.ч.с.)</t>
  </si>
  <si>
    <t xml:space="preserve">3. Ост. «Пушкина» (ч.с.) </t>
  </si>
  <si>
    <t>6. Ост. «Комсомольская» (н.ч.с.)</t>
  </si>
  <si>
    <t>7. Ост. «Куйбышева» (ч.с.)</t>
  </si>
  <si>
    <t>8. Ост.  «Куйбышева» (н.ч.с.)</t>
  </si>
  <si>
    <t>9. Ост. «Школа» (ч.с.)</t>
  </si>
  <si>
    <t>Улица Лермонтова (2 ост)</t>
  </si>
  <si>
    <t>2. Ост. «Пляж»</t>
  </si>
  <si>
    <t>Улица Мельничная (1 ост)</t>
  </si>
  <si>
    <t>Улица Московская (2 ост)</t>
  </si>
  <si>
    <t xml:space="preserve">1. Ост. «Развилка» (ч.с.) </t>
  </si>
  <si>
    <t>2. Ост. «Развилка» (н.ч.с.)</t>
  </si>
  <si>
    <t>Улица Муравьёва (1ост)</t>
  </si>
  <si>
    <t>1. Ост. «Муравьёва»</t>
  </si>
  <si>
    <t>1. Ост. «Невского» (ч.с.)</t>
  </si>
  <si>
    <t>2. Ост. «Невского» (н.ч.с.)</t>
  </si>
  <si>
    <t xml:space="preserve">1. Ост. «Некрасова» (ч.с.) </t>
  </si>
  <si>
    <t>2. Ост. «Некрасова» (н.ч.с.)</t>
  </si>
  <si>
    <t>Улица Новоникольское шоссе (24 ост)</t>
  </si>
  <si>
    <t>2. Ост. «3-й километр» (ч.с.)</t>
  </si>
  <si>
    <t>3. Ост. «3-й километр» (н.ч.с.)</t>
  </si>
  <si>
    <t xml:space="preserve">4. Ост. «Кир завод» (ч.с.) </t>
  </si>
  <si>
    <t>5. Ост. «Кир завод» (н.ч.с.)</t>
  </si>
  <si>
    <t xml:space="preserve">6. Ост. «Промкомбинат» (ч.с.) </t>
  </si>
  <si>
    <t>7. Ост. «Промкомбинат» (н.ч.с.)</t>
  </si>
  <si>
    <t>8. Ост. «ДЭУ» (ч.с.)</t>
  </si>
  <si>
    <t>9. Ост. «ДЭУ» (н.ч.с.)</t>
  </si>
  <si>
    <t xml:space="preserve">10. Ост. «ЗМЗ» (ч.с.)  </t>
  </si>
  <si>
    <t>11. Ост. «ЗМЗ» (н.ч.с.)</t>
  </si>
  <si>
    <t>12. Ост. «Геофизиков» (ч.с.)</t>
  </si>
  <si>
    <t>13. Ост. «Геофизиков» (н.ч.с.)</t>
  </si>
  <si>
    <t>14. Ост. «Развилка» (ч.с.)</t>
  </si>
  <si>
    <t>15. Ост. «Развилка» (н.ч.с.)</t>
  </si>
  <si>
    <t>16. Ост. «Столовая» (ч.с.)</t>
  </si>
  <si>
    <t>17. Ост. «Столовая» (н.ч.с.)</t>
  </si>
  <si>
    <t>18. Ост. «Школа» (ч.с.)</t>
  </si>
  <si>
    <t>19. Ост. «Школа» (н.ч.с.)</t>
  </si>
  <si>
    <t>20. Ост. «Магазин» (ч.с.)</t>
  </si>
  <si>
    <t>21. Ост. «Магазин» (н.ч.с.)</t>
  </si>
  <si>
    <t>22. Ост. «ТОК» (ч.с.)</t>
  </si>
  <si>
    <t>23. Ост. «ТОК» (н.ч.с.)</t>
  </si>
  <si>
    <t>24. Ост. «Новоникольск» (конечная)</t>
  </si>
  <si>
    <t>Улица Общественная (4 ост)</t>
  </si>
  <si>
    <t>1. Ост. «Общественная» (ч.с.)</t>
  </si>
  <si>
    <t xml:space="preserve">2. Ост. «Общественная» (н.ч.с.)  </t>
  </si>
  <si>
    <t>3. Ост. «Анучинская» (ч.с.)</t>
  </si>
  <si>
    <t>4. Ост. «Анучинская» (н.ч.с.)</t>
  </si>
  <si>
    <t>Улица Пархоменко (2 ост)</t>
  </si>
  <si>
    <t>1. Ост. «Пархоменко» (ч.с.)</t>
  </si>
  <si>
    <t>2. Ост. «Пархоменко» (н.ч.с.)</t>
  </si>
  <si>
    <t>Улица Пинегина (3 ост)</t>
  </si>
  <si>
    <t>1. Ост. «Поворот» (ч.с.)</t>
  </si>
  <si>
    <t>Улица Попова (6 ост)</t>
  </si>
  <si>
    <t xml:space="preserve">1. Ост. «Реф депо» (ч.с.)  </t>
  </si>
  <si>
    <t>2. Ост. «Реф депо» (н.ч.с.)</t>
  </si>
  <si>
    <t>4. Ост. «Детский сад» (ч.с.)</t>
  </si>
  <si>
    <t>5. Ост. «Детский сад» (н.ч.с.)</t>
  </si>
  <si>
    <t>6. Ост. «Попова» в/ч (конечная)</t>
  </si>
  <si>
    <t xml:space="preserve">1. Ост. «ЖД вокзал» </t>
  </si>
  <si>
    <t>Улица Приморская (1 ост)</t>
  </si>
  <si>
    <t>1. Ост. «Приморская»</t>
  </si>
  <si>
    <t>Улица Пушкина (3 ост)</t>
  </si>
  <si>
    <t>2. Ост. «Пушкинский мост» (ч.с.) (по требованию)</t>
  </si>
  <si>
    <t>3. Ост. «Пушкинский мост» (н.ч.с.) (по требованию)</t>
  </si>
  <si>
    <t>Улица Раковская (12 ост)</t>
  </si>
  <si>
    <t xml:space="preserve">1. Ост. «Раковская» (ч.с.) (м-н «Сокол») </t>
  </si>
  <si>
    <t>2. Ост. «Раковская» (н.ч.с.)</t>
  </si>
  <si>
    <t>3. Ост. «Воровского» (ч.с.)</t>
  </si>
  <si>
    <t>4. Ост. «Воровского» (н.ч.с.)</t>
  </si>
  <si>
    <t>5. Ост. «Гончарука» (ч.с.)</t>
  </si>
  <si>
    <t>6. Ост. «Гончарука» (н.ч.с.)</t>
  </si>
  <si>
    <t>7. Ост. «Крутая» (ч.с.)</t>
  </si>
  <si>
    <t xml:space="preserve">8. Ост. «Крутая» (н.ч.с.) </t>
  </si>
  <si>
    <t>9. Ост. «Зверосовхоз» (ч.с.)</t>
  </si>
  <si>
    <t xml:space="preserve">10. Ост. «Зверосовхоз» (н.ч.с.) </t>
  </si>
  <si>
    <t xml:space="preserve">11. Ост. «УЦ» </t>
  </si>
  <si>
    <t>12. Ост. «Картонный комбинат» (конечная)</t>
  </si>
  <si>
    <t>Улица Русская (6 ост)</t>
  </si>
  <si>
    <t>2. Ост. «Школа» (ч.с.)</t>
  </si>
  <si>
    <t>3. Ост. «Школа» (н.ч.с.)</t>
  </si>
  <si>
    <t>4. Ост. «Магазин» (ч.с.)</t>
  </si>
  <si>
    <t>5. Ост. «Магазин» (н.ч.с.)</t>
  </si>
  <si>
    <t>6. Ост. «Кладбище» (конечная)</t>
  </si>
  <si>
    <t>Улица Садовая (3 ост)</t>
  </si>
  <si>
    <t>1. Ост. «Садовая» (ч.с.)</t>
  </si>
  <si>
    <t>2. Ост. «Садовая» (н.ч.с.)</t>
  </si>
  <si>
    <t>3. Ост. «Воровского»</t>
  </si>
  <si>
    <t xml:space="preserve">1. Ост. «Кино база» (ч.с.) </t>
  </si>
  <si>
    <t>2. Ост. «Кино база» (н.ч.с.)</t>
  </si>
  <si>
    <t>Улица Слободская (3 ост)</t>
  </si>
  <si>
    <t>1. Ост. «Школа» (ч.с.)</t>
  </si>
  <si>
    <t>2. Ост. «Школа» (н.ч.с.)</t>
  </si>
  <si>
    <t>3. Ост. «Поворот»</t>
  </si>
  <si>
    <t>Улица Стаханова (1 ост)</t>
  </si>
  <si>
    <t>1. Ост. «Стаханова»</t>
  </si>
  <si>
    <t>Улица Топоркова (3 ост)</t>
  </si>
  <si>
    <t>1. Ост. «Топоркова» (ч.с.)</t>
  </si>
  <si>
    <t>2. Ост. «Топоркова» (н.ч.с.)</t>
  </si>
  <si>
    <t>Улица Тургенева (10 ост)</t>
  </si>
  <si>
    <t>1. Ост. «ЖД вокзал»</t>
  </si>
  <si>
    <t xml:space="preserve">4. Ост. «Сан тех монтаж» (ч.с.) </t>
  </si>
  <si>
    <t>5. Ост. «Сан тех монтаж» (н.ч.с.)</t>
  </si>
  <si>
    <t>6. Ост. «АК 1273» (ч.с.)</t>
  </si>
  <si>
    <t>7. Ост. «АК 1273» (н.ч.с.)</t>
  </si>
  <si>
    <t>8. Ост. «Переулок» (ч.с.)</t>
  </si>
  <si>
    <t>9. Ост. «Переулок» (н.ч.с.)</t>
  </si>
  <si>
    <t>10. Ост. «МРЭО ГАИ» (конечная)</t>
  </si>
  <si>
    <t>Улица Урицкого (6 ост)</t>
  </si>
  <si>
    <t>2. Ост. «Общественная» (н.ч.с.)</t>
  </si>
  <si>
    <t>3. Ост. «Мелкооптовый магазин» (ч.с.)</t>
  </si>
  <si>
    <t>4. Ост. «Мелкооптовый магазин» (н.ч.с.)</t>
  </si>
  <si>
    <t>5. Ост. «КПП» (ч.с.)</t>
  </si>
  <si>
    <t>6. Ост. «КПП» (н.ч.с.)</t>
  </si>
  <si>
    <t>Улица Ушакова (4 ост)</t>
  </si>
  <si>
    <t xml:space="preserve">1. Ост. «Ушакова» (ч.с.) </t>
  </si>
  <si>
    <t>2. Ост. «Ушакова» (н.ч.с.)</t>
  </si>
  <si>
    <t>3. Ост. «Чичерина» (ч.с.)</t>
  </si>
  <si>
    <t>4. Ост. «Чичерина» (н.ч.с.)</t>
  </si>
  <si>
    <t>Улица Францева (2 ост)</t>
  </si>
  <si>
    <t xml:space="preserve">1. Ост. «Францева» (ч.с.) </t>
  </si>
  <si>
    <t>2. Ост. «Францева» (н.ч.с.)</t>
  </si>
  <si>
    <t>Улица Целинная (3 ост)</t>
  </si>
  <si>
    <t>1. Ост. «МРО»</t>
  </si>
  <si>
    <t>2. Ост. «Целинная»</t>
  </si>
  <si>
    <t>3. Ост. «ИЗ 25/3»</t>
  </si>
  <si>
    <t>1. Ост. «пос. Восход» (ч.с.)</t>
  </si>
  <si>
    <t>3. Ост. «Дом инвалидов»</t>
  </si>
  <si>
    <t>1. Ост. «Чичерина» (ч.с.)</t>
  </si>
  <si>
    <t>2. Ост. «Чичерина» (н.ч.с.)</t>
  </si>
  <si>
    <t xml:space="preserve">3. Ост. «Рынок» (ч.с.) </t>
  </si>
  <si>
    <t>4. Ост. «Рынок» (н.ч.с.)</t>
  </si>
  <si>
    <t>6. Ост. «Педагогический институт»</t>
  </si>
  <si>
    <t>7. Ост. «кафе Университет»</t>
  </si>
  <si>
    <t>8. Ост. «Горького» (ч.с.)</t>
  </si>
  <si>
    <t>9. Ост. «Горького» (н.ч.с.)</t>
  </si>
  <si>
    <t>Улица Шевченко (4 ост)</t>
  </si>
  <si>
    <t xml:space="preserve">1. Ост. «Сах завод» (ч.с.) </t>
  </si>
  <si>
    <t xml:space="preserve">3. Ост. «Дрож завод» (ч.с.)  </t>
  </si>
  <si>
    <t>4. Ост. «Дрож завод» (н.ч.с.)</t>
  </si>
  <si>
    <t>Улица Штабского (8 ост)</t>
  </si>
  <si>
    <t>1. Ост. «Мясокомбинат» (ч.с.)</t>
  </si>
  <si>
    <t>2. Ост. «Мясокомбинат» (н.ч.с.)</t>
  </si>
  <si>
    <t>3. Ост. «ООО АК 1408» (ч.с.)</t>
  </si>
  <si>
    <t>4. Ост. «ООО АК 1408» (н.ч.с.)</t>
  </si>
  <si>
    <t>5. Ост. поворот м.р. Штабского (ч.с.)</t>
  </si>
  <si>
    <t>6. Ост. поворот м.р. Штабского (н. ч.с.)</t>
  </si>
  <si>
    <t>7. Ост. «Кож комбинат» (ч.с.)</t>
  </si>
  <si>
    <t>8. Ост. «Кож комбинат» (н.ч.с.)</t>
  </si>
  <si>
    <t xml:space="preserve"> </t>
  </si>
  <si>
    <r>
      <t>1. Ост. «Госпиталь»</t>
    </r>
    <r>
      <rPr>
        <b/>
        <u val="single"/>
        <sz val="12"/>
        <rFont val="Times New Roman"/>
        <family val="1"/>
      </rPr>
      <t xml:space="preserve">    </t>
    </r>
  </si>
  <si>
    <t>Наименование улиц (остановок)</t>
  </si>
  <si>
    <t xml:space="preserve">Вид остановки </t>
  </si>
  <si>
    <t>Улица Советская (6 ост)</t>
  </si>
  <si>
    <t>1. Ост. "Дальсвязь"</t>
  </si>
  <si>
    <t>2. Ост. "Молокозавод"</t>
  </si>
  <si>
    <t>3. Ост. "Горбальница" (ч.с.)</t>
  </si>
  <si>
    <t>4. Ост. "Горбольница" (н.ч.с.)</t>
  </si>
  <si>
    <t xml:space="preserve">Примечание </t>
  </si>
  <si>
    <t>павильон</t>
  </si>
  <si>
    <t xml:space="preserve">торг. киоск </t>
  </si>
  <si>
    <t>платформа</t>
  </si>
  <si>
    <t>торг. киоск</t>
  </si>
  <si>
    <t>1. Ост. «Спорттовары»</t>
  </si>
  <si>
    <t>2. Ост. «Горизонт»</t>
  </si>
  <si>
    <t>3. Ост. «Штаб Армии»</t>
  </si>
  <si>
    <t>4. Ост. «Штаб Армии» (м/а)</t>
  </si>
  <si>
    <t>8. Ост. «Куйбышева» (н.ч.с.)</t>
  </si>
  <si>
    <t>2. Ост. "Диспетчерская"</t>
  </si>
  <si>
    <t>Привокзальная площадь (2 ост)</t>
  </si>
  <si>
    <t>Улица Владивостокское шоссе (18 ост)</t>
  </si>
  <si>
    <t>5. Ост. «Фрунзе»</t>
  </si>
  <si>
    <t>6. Ост. «Центральная площадь»</t>
  </si>
  <si>
    <t>7. Ост. «90-й магазин» (ч.с.)</t>
  </si>
  <si>
    <t>8. Ост. «90-й магазин» (н.ч.с.)</t>
  </si>
  <si>
    <t>9. Ост. «Детская больница» (ч.с.)</t>
  </si>
  <si>
    <t>10. Ост. «Детская больница» (н.ч.с.)</t>
  </si>
  <si>
    <t>11. Ост. «Ермакова» (ч.с.)</t>
  </si>
  <si>
    <t>12. Ост. «Ермакова» (н.ч.с.)</t>
  </si>
  <si>
    <t>13. Ост. «Комарова» (ч.с.)</t>
  </si>
  <si>
    <t>14. Ост. «Комарова» (н.ч.с.)</t>
  </si>
  <si>
    <t>15. Ост. «Пологая» (ч.с.)</t>
  </si>
  <si>
    <t>16. Ост. «Пологая» (н.ч.с.)</t>
  </si>
  <si>
    <t>17. Ост. «Китайский рынок» (ч.с.)</t>
  </si>
  <si>
    <t>19. Ост. «Северный городок» (ч.с.)</t>
  </si>
  <si>
    <t>20. Ост. «Северный городок» (н.ч.с.)</t>
  </si>
  <si>
    <t xml:space="preserve">21. Ост. «В-Лазер» (ч.с.) </t>
  </si>
  <si>
    <t>22. Ост. «В-Лазер» (н.ч.с.)</t>
  </si>
  <si>
    <t xml:space="preserve">23. Ост. «6-й километр» </t>
  </si>
  <si>
    <t>Улица Некрасова (23 ост)</t>
  </si>
  <si>
    <t>1. Ул. Советская</t>
  </si>
  <si>
    <t>1. Ул. Лазо</t>
  </si>
  <si>
    <t>с. Алексее-Никольск (2 ост)</t>
  </si>
  <si>
    <t>с.Николо-Львовск (1 ост)</t>
  </si>
  <si>
    <t xml:space="preserve">1. Выставка </t>
  </si>
  <si>
    <t>п. Тимирязевский (1 ост)</t>
  </si>
  <si>
    <t>1. Ул. Привокзальная</t>
  </si>
  <si>
    <t>ст. Воздвиженка (1 ост)</t>
  </si>
  <si>
    <t>с. Пуциловка (1 ост)</t>
  </si>
  <si>
    <t>с. Богатырка (1 ост)</t>
  </si>
  <si>
    <t>1. Ул. Центральная</t>
  </si>
  <si>
    <t>с. Улитовка (1 ост)</t>
  </si>
  <si>
    <t>с. Раковка (1 ост)</t>
  </si>
  <si>
    <t xml:space="preserve">1. Михайловское шоссе (ч.с.) </t>
  </si>
  <si>
    <t>17. Ост. «г-н Барановский» (н.ч.с.)</t>
  </si>
  <si>
    <t>3. Ост. "УГПИ"</t>
  </si>
  <si>
    <t>4. Ост. «Володарского»</t>
  </si>
  <si>
    <t xml:space="preserve">2. Ост. "Диспетчерская" </t>
  </si>
  <si>
    <t>Ост. «5 километр» (кольцо, конечная)</t>
  </si>
  <si>
    <t>Ост. «Дальэнерго» (ч.с.)</t>
  </si>
  <si>
    <t>Ост. «Дальэнерго» (н.ч.с.)</t>
  </si>
  <si>
    <t>Ост. «Краснознамённая» (ч.с.)</t>
  </si>
  <si>
    <t>Ост. «АКСО»</t>
  </si>
  <si>
    <t>Ост. «Спорттовары»</t>
  </si>
  <si>
    <t>Ост. «Горизонт»</t>
  </si>
  <si>
    <t>Ост. «Штаб Армии»</t>
  </si>
  <si>
    <t>Ост. «Штаб Армии» (м/а)</t>
  </si>
  <si>
    <t>Ост. «Комсомольская» (н.ч.с.)</t>
  </si>
  <si>
    <t>Ост. «Володарского»</t>
  </si>
  <si>
    <t>Ост. «Центральная площадь»</t>
  </si>
  <si>
    <t>Ост. «90-й магазин» (ч.с.)</t>
  </si>
  <si>
    <t xml:space="preserve">Ост. «Реф депо» (ч.с.)  </t>
  </si>
  <si>
    <t>Ост. «Русская»</t>
  </si>
  <si>
    <t>Ост. «Пив завод»</t>
  </si>
  <si>
    <t>Ост. «ЖД вокзал»</t>
  </si>
  <si>
    <t>Ост. «Ушакова» (н.ч.с.)</t>
  </si>
  <si>
    <t>ул. Беляева</t>
  </si>
  <si>
    <t>ул. Вл. шоссе</t>
  </si>
  <si>
    <t>ул. Горького</t>
  </si>
  <si>
    <t>ул. Краснознамённая</t>
  </si>
  <si>
    <t>ул. Лемичёва</t>
  </si>
  <si>
    <t>ул. Ленина</t>
  </si>
  <si>
    <t>ул. Ленинградская</t>
  </si>
  <si>
    <t>ул. Некрасова</t>
  </si>
  <si>
    <t>ул. Попова</t>
  </si>
  <si>
    <t>ул. Русская</t>
  </si>
  <si>
    <t>ул. Топоркова</t>
  </si>
  <si>
    <t>ул. Тургенева</t>
  </si>
  <si>
    <t>ул. Ушакова</t>
  </si>
  <si>
    <t>2. Ост. Водоканал (м-н «Лукост») (н.ч.с.)</t>
  </si>
  <si>
    <t xml:space="preserve">3. Ост. Водоканал («Шиномонтаж») (ч.с.) </t>
  </si>
  <si>
    <t>1. Ост. «Кислородный завод» (в стор. кож. комбината)</t>
  </si>
  <si>
    <t>Улица Чичерина (9 ост)</t>
  </si>
  <si>
    <t>Улица Колхозная (3 ост)</t>
  </si>
  <si>
    <t>Улица Штабского (10 ост)</t>
  </si>
  <si>
    <t>№ п/п</t>
  </si>
  <si>
    <t>Наименование и адрес остановки</t>
  </si>
  <si>
    <t>описание конструктивных элементов</t>
  </si>
  <si>
    <t>состояние конструктивных элементов</t>
  </si>
  <si>
    <t>вид требуемого ремонта</t>
  </si>
  <si>
    <t>Сведения о состоянии автобусных остановок, расположенных на автомобильных дорогах в г. Уссурийске, переданных в оперативное управление в МКП "СЕЗЗ"</t>
  </si>
  <si>
    <r>
      <t>Сведения о состоянии автобусных остановок, расположенных на автомобильных дорогах в г. Уссурийске,</t>
    </r>
    <r>
      <rPr>
        <b/>
        <i/>
        <sz val="14"/>
        <rFont val="Arial Cyr"/>
        <family val="0"/>
      </rPr>
      <t xml:space="preserve"> не переданных</t>
    </r>
    <r>
      <rPr>
        <sz val="14"/>
        <rFont val="Arial Cyr"/>
        <family val="0"/>
      </rPr>
      <t xml:space="preserve"> в оперативное управление в МКП "СЕЗЗ"</t>
    </r>
  </si>
  <si>
    <t>с. Новоникольск, улица Советская</t>
  </si>
  <si>
    <t>удовлетв.</t>
  </si>
  <si>
    <t>окр.</t>
  </si>
  <si>
    <t>хорошее</t>
  </si>
  <si>
    <t>1. Ост. (м-н «Сокол»)   (ч.с.)</t>
  </si>
  <si>
    <t>площадь уборки кв.м.</t>
  </si>
  <si>
    <t>2. Ост. «Горизонт» - нечетная сторона</t>
  </si>
  <si>
    <t>3. Ост "Штаб Армии" - нечетная сторона</t>
  </si>
  <si>
    <t>длина п.м.</t>
  </si>
  <si>
    <t>ширина п.м.</t>
  </si>
  <si>
    <t>торговый киоск</t>
  </si>
  <si>
    <t>средняя высота п.м.</t>
  </si>
  <si>
    <t>очистка от загрязнений, окраска</t>
  </si>
  <si>
    <t>5. Ост. «Возрождение»</t>
  </si>
  <si>
    <t>установка дорожного знака, расписания</t>
  </si>
  <si>
    <t>1. Ост. "Семь ветров"ул. Агеева – Краснознамённая (кольцо)</t>
  </si>
  <si>
    <t>заделка трещин и сколов</t>
  </si>
  <si>
    <t>побелка</t>
  </si>
  <si>
    <t>3. Ост. «Никольск» (н.ч.с.)</t>
  </si>
  <si>
    <t xml:space="preserve">8. Ост. «КПП» Уссурийск – Владивосток (н.ч.с.) </t>
  </si>
  <si>
    <t xml:space="preserve">9. Ост. «КПП» Уссурийск – Владивосток (ч.с.) </t>
  </si>
  <si>
    <t>неудовлетв.</t>
  </si>
  <si>
    <t>10. Ост. «Кафе» «Пятиминутка» (по требованию) (н.ч.с.)</t>
  </si>
  <si>
    <t>платформа - ж.б плита. Покрытие асф., знаки 2</t>
  </si>
  <si>
    <t>знаки 2шт.</t>
  </si>
  <si>
    <t>оборудовать остановку</t>
  </si>
  <si>
    <t>15. Ост. «Сады» 1 (по требованию) (н.ч.с.)</t>
  </si>
  <si>
    <t>ремонт покрытия, установка скамеек, урны</t>
  </si>
  <si>
    <t>замена платформы, установка скамеек, урны</t>
  </si>
  <si>
    <t>16. Ост. «Сады» 2 (по требованию) (н.ч.с.)</t>
  </si>
  <si>
    <t>переулок Мостовой (1 ост)</t>
  </si>
  <si>
    <t xml:space="preserve">1. Ост. «Барановский - конечная» (ч.с.) </t>
  </si>
  <si>
    <t>неудовлет.</t>
  </si>
  <si>
    <t>замена всех конструкций, установка дорожных знаков, расписания</t>
  </si>
  <si>
    <t>Улица Мишенная (1 ост)</t>
  </si>
  <si>
    <t xml:space="preserve">1. Ост. «Мишенная» (ч.с.) </t>
  </si>
  <si>
    <t>замена всех конструкций, установка дорожных знаков, таблички расписания. Урны</t>
  </si>
  <si>
    <t>18. Ост. «г-н Барановский» (ч.с.)</t>
  </si>
  <si>
    <t>заделка трещин. очищ.от загряз, окраска установка таблички с расписанием</t>
  </si>
  <si>
    <t>14. Ост. «Сады» 1 (по требованию) (ч.с.)</t>
  </si>
  <si>
    <t>заделка трещин. очищ.от загряз, окраска, замена пола, установка урны</t>
  </si>
  <si>
    <t>устройство посадочной платформы, установка урны</t>
  </si>
  <si>
    <t>11. Ост. «Кафе» «Пятиминутка» (по требованию) (ч.с.)</t>
  </si>
  <si>
    <t>платформа - ж.б плита. Покрытие асф.</t>
  </si>
  <si>
    <t>замена посадочной платформы, установка скамеек, урны, дорожных знаков</t>
  </si>
  <si>
    <t>знак (2)</t>
  </si>
  <si>
    <t>знак (1)</t>
  </si>
  <si>
    <t>платформа - бетон, урна</t>
  </si>
  <si>
    <t>установка дорожных знаков, таблички с расписанием. Скамейку</t>
  </si>
  <si>
    <t>2. Ост. «Никольск» (н.ч.с.)</t>
  </si>
  <si>
    <t>1. Ост. «Завод Родина» (н.ч.с.)</t>
  </si>
  <si>
    <t xml:space="preserve">установка дорожных знаков, таблички с расписанием, урны </t>
  </si>
  <si>
    <t>2. Ост. «Поворот на с.Баневурово» (ч.с.)</t>
  </si>
  <si>
    <t xml:space="preserve">устранение сколов, трещин, ремонт пола.установка таблички с расписанием, урны </t>
  </si>
  <si>
    <t>9. Ост. "Общежитие" (в сторону города)н.ч.с.</t>
  </si>
  <si>
    <t>10. Ост. "Общежитие" (ч.с.)</t>
  </si>
  <si>
    <t>платформа ж.бет.плита, покрытие-асф.</t>
  </si>
  <si>
    <t>устройство новой остановки, установка дорожных знаков, таблички расписания, урны</t>
  </si>
  <si>
    <t>не оборудована</t>
  </si>
  <si>
    <t>8. Ост. «Кож комбинат» (ч.с.)</t>
  </si>
  <si>
    <t>7. Ост. «Кож комбинат» (в сторону города)(н.ч.с.)</t>
  </si>
  <si>
    <t>заделка трещин. очищ.от грибка. плесени,  замена пола, устройство посадочной площадки, установка скамеек, дорожных знаков, урны, таблички расписания</t>
  </si>
  <si>
    <t>платформа ж.бет.плита</t>
  </si>
  <si>
    <t>4. Ост. «ООО АК 1408» (ч.с.)</t>
  </si>
  <si>
    <t>3. Ост. «ООО АК 1408» (в сторону города) (н.ч.с.)</t>
  </si>
  <si>
    <t>заделка трещин, сколов. установка дорожных знаков, урны</t>
  </si>
  <si>
    <t>2. Ост. «Мясокомбинат» (ч.с.)</t>
  </si>
  <si>
    <t>1. Ост. «Мясокомбинат» (в сторону города) (н.ч.с.)</t>
  </si>
  <si>
    <t>замена всех конструкций, установка дорожных знаков, расписания, урны</t>
  </si>
  <si>
    <t>побелка, очищение от грязи</t>
  </si>
  <si>
    <t>4. Ост. «Школа № 28» (ч.с.)</t>
  </si>
  <si>
    <t>установка таблички расписания</t>
  </si>
  <si>
    <t>1. Ост. ул. Краснознамённая – Агеева (кольцо) (ч.с.)</t>
  </si>
  <si>
    <t>1. Ост. «ЖД вокзал» (ч.с.)</t>
  </si>
  <si>
    <t>очистка от загрязнений, ржавчины, окраска</t>
  </si>
  <si>
    <t>2. Ост. «Комсомольская» (ч.с.)</t>
  </si>
  <si>
    <t>нет посадочной платформы, павильон не соответствует требованиям.</t>
  </si>
  <si>
    <t>оборудовать новую остановку</t>
  </si>
  <si>
    <t>очистка от загрязнений, ржавчины, окраска, укрепление обшивки, ремонт пола</t>
  </si>
  <si>
    <t>9. Ост. «Садовая» (ч.с.)</t>
  </si>
  <si>
    <t>открытая платформа -ж.бетон.плита, покрытие - асфальт., урна (1), знак (2)</t>
  </si>
  <si>
    <t>устранение трещин и щелей</t>
  </si>
  <si>
    <t xml:space="preserve">замена основания, очистка от ржавчины, загрязнений, окраска. Установка дорожного знака, таблички с расписанием, замена урны. </t>
  </si>
  <si>
    <t>открытая платформа -бетон, урна 1шт.</t>
  </si>
  <si>
    <t>ремонт металлических конструкций, устранение трещин и выкрашивания покрытия, установка знаков, таблички расписания</t>
  </si>
  <si>
    <t>удовлет.</t>
  </si>
  <si>
    <t>устройство посадочной платформы, таблички расписания, очистка от ржавчины, загрязнений, окраска</t>
  </si>
  <si>
    <t>3. Ост. «Общественная»  (н.ч.с.)</t>
  </si>
  <si>
    <t>замена урны, устройство посадочной платформы, таблички расписания, очистка от ржавчины, загрязнений, окраска</t>
  </si>
  <si>
    <t>газетный киоск</t>
  </si>
  <si>
    <t>очистка от ржавчины, загрязнений, окраска. установка таблички с расписанием, замена скамейки. Устройство посадочной площадки.</t>
  </si>
  <si>
    <t>3. Ост. «Комсомольская» (н.ч.с.)</t>
  </si>
  <si>
    <t>устройство посадочной платформы, таблички расписания, скамеек, замена урны, устранение деформаций</t>
  </si>
  <si>
    <t>устройство посадочной платформы, таблички расписания,  устранение деформаций</t>
  </si>
  <si>
    <t>1. Ост. «Школа» (н.ч.с.)</t>
  </si>
  <si>
    <t>устройство новой посадочной платформы, таблички расписания,  скамейки</t>
  </si>
  <si>
    <t xml:space="preserve">ремонт металлических конструкций, устранение трещин </t>
  </si>
  <si>
    <t>ремонт металлических конструкций, устранение трещин , выкрашивания</t>
  </si>
  <si>
    <t>устранение трещин , замена знака</t>
  </si>
  <si>
    <t>открытая платформа - бетон, урна, скамейка 2,2*0,45*0,5</t>
  </si>
  <si>
    <t>заделка трещин, сколов. окраска урны, установка знаков</t>
  </si>
  <si>
    <t>1. Ост. «Блюхера» («Уссурийские дороги»,ч.с.)</t>
  </si>
  <si>
    <t>очистка от загрязнений, окраска. установка дорожного знака</t>
  </si>
  <si>
    <t>знак (2), урна, скамейка</t>
  </si>
  <si>
    <t>оборудовать посадочную платформу</t>
  </si>
  <si>
    <t>открытая платформа -ж.бетон.плита,  урна (1), знак (2), расписание, скамейка</t>
  </si>
  <si>
    <t xml:space="preserve">очистка от загрязнений, окраска. </t>
  </si>
  <si>
    <t>знак (2), расписание</t>
  </si>
  <si>
    <t>7. Ост. «Заводская» (н.ч.с.)</t>
  </si>
  <si>
    <t>7. Ост. «ЛРЗ» (н.ч.с.)</t>
  </si>
  <si>
    <t>8. Ост. «Русская» (ч.с.)</t>
  </si>
  <si>
    <t>окраска, знак поправить</t>
  </si>
  <si>
    <t>платформа -бетон, покрытие - асфальт, урна 1шт., знак (2), скамейка крытая метал. на мет.ст. 3,3*0,9*0,44</t>
  </si>
  <si>
    <t>устранить трещины</t>
  </si>
  <si>
    <t>открытая платформа -ж.бетон.плита, покрытие - асфальт., урна (1), знак (2), расписание, скамейка 3,5*0,4*0,5</t>
  </si>
  <si>
    <t>востановление кровли, крепление обшивки. окраска</t>
  </si>
  <si>
    <t>устройство посадочной платформы, ликвидация деформирмации</t>
  </si>
  <si>
    <t>Улица Теодора Тихого (3 ост)</t>
  </si>
  <si>
    <t>2. Ост. «Школа № 13» (н.ч.с.)</t>
  </si>
  <si>
    <t xml:space="preserve">очистка от загрязнений, побелка. Замена таблички с расписанием. </t>
  </si>
  <si>
    <t xml:space="preserve">замена основания, устройство посадочной платформы, устранение деформации, установка дорожных знаков, таблички с расписанием. </t>
  </si>
  <si>
    <t>платформа, знак (2)</t>
  </si>
  <si>
    <t>устройство новой посадочной платформы</t>
  </si>
  <si>
    <t>платформа -бетон, покрытие - асфальт, урна 1шт., знак (2), скамейка  2,3*0,45*0,5</t>
  </si>
  <si>
    <t>устранить трещины, установить табличку расписания</t>
  </si>
  <si>
    <t>4. Ост. «Русская» (н.ч.с.) "Стоп-Лайн"</t>
  </si>
  <si>
    <t xml:space="preserve">ремонт основания, окраска. установка урны. </t>
  </si>
  <si>
    <t>открытая платформа -ж.бетон.плита,  урна (1), знак (2), расписание, скамейка 3,5*0,4*0,5</t>
  </si>
  <si>
    <t>устранение трещин и дыр, ремонт скамейки</t>
  </si>
  <si>
    <t>окраска</t>
  </si>
  <si>
    <t>1. Ост. ул. Комарова – Ленинградская (кольцо)  (н.ч.с.)</t>
  </si>
  <si>
    <t>1. Ост. Дальторгсервис" (н.ч.с.)</t>
  </si>
  <si>
    <t>открытая платформа - бетон, знак (2)</t>
  </si>
  <si>
    <t>устройство новой остановки</t>
  </si>
  <si>
    <t>удовлетвор.</t>
  </si>
  <si>
    <t>заделка трещин, выбоин, ремонт отделки</t>
  </si>
  <si>
    <t>открытый павильон - кирпич. стена - 8,55м. T=25 . покрытие метал, основание - бетон, знак (2),скамейка - 4,0*0,4*0,5, урна, расписание</t>
  </si>
  <si>
    <t>замена кровли, устройство посадочной платформы, пола, урны, таблички расписания</t>
  </si>
  <si>
    <t>открытый павильон - мет.ст d=10, обшит.1ст.метал., покрытие шифер, основание - гравий, знак (2),скамейка - 5,8*0,4*0,6</t>
  </si>
  <si>
    <t>открытый павильон - мет.ст d=10, обшит.1ст.метал., покрытие метал, основание - гравий, знак (2),скамейка - 2,5*0,4*0,5, расписание</t>
  </si>
  <si>
    <t>устройство посадочной платформы, пола, урны, окраска</t>
  </si>
  <si>
    <t>открытый павильон (4,25*1,95) - мет.ст d=10, обшит.2ст.метал., покрытие метал (полусфера), основание - бетон, скамейка - 4,2*0,4*0,5, урна</t>
  </si>
  <si>
    <t>крытый павильон - мет.ст d=10, обшит.3ст.метал., покрытие шифер, основание - асфальт, знак (2),скамейка - 4,5*0,4*0,6, урна, расписание</t>
  </si>
  <si>
    <t>заменить урну, табличку расписания, кровлю</t>
  </si>
  <si>
    <t>открытый павильон(3*2,05) - мет.ст d=4*5, обшит.1ст.метал., покрытие метал, основание - ж.бетон.плита, покрытие-асфальт, знак (1),скамейка - 3,0*0,4*0,7, урна</t>
  </si>
  <si>
    <t>очистка от загрязнений, окраска, установка знака, таблички расписания</t>
  </si>
  <si>
    <t>закрытый павильон(1,4*5,45)-железобетонные панели t=11, окраска, перекр.-ж.бетон.плиты, основание - ж.бетон.плита, покр.-асфальт, скамейка-4,0*0,4*0,4. знак (1), расписание, урна</t>
  </si>
  <si>
    <t xml:space="preserve"> очищ.от загряз, окраска , заменить урну</t>
  </si>
  <si>
    <t>открытый павильон(3,05*2,05) - мет.ст d=4*5, обшит.2ст.метал., покрытие метал, основание - ж.бетон.плита, покрытие-асфальт, знак (1),скамейка - 3,0*0,4*0,7, урна</t>
  </si>
  <si>
    <t>очистка от загрязнений, окраска, ремонт скамейки, замена урны, установка знака, таблички расписания</t>
  </si>
  <si>
    <t>закрытый павильон(1,45*3,95)-железобетонные панели t=11, окраска, перекр.-ж.бетон.плиты, основание - ж.бетон.плита,  скамейка-3,7*0,4*0,6. знак (1), урна</t>
  </si>
  <si>
    <t xml:space="preserve"> очищ.от загряз, окраска , заменить урну, установить знак, табличку расписания</t>
  </si>
  <si>
    <t>заделка трещин. ремонт пола, устройство посадочной площадки, заменить урну</t>
  </si>
  <si>
    <t>открытый павильон(3*2,05) - мет.ст d=4*5, без обшив., покрытие метал,  знак (1),скамейка - 3,0*0,4*0,6</t>
  </si>
  <si>
    <t>устройство посадочной платформы, очистка от загрязнений, окраска, установка знака, урны, таблички расписания</t>
  </si>
  <si>
    <t>открытый павильон - мет.ст., обшит метал. с 2-х ст., покрытие метал.,основ.-бет.плиты, скамейка - 4,5*0,4*0,5, урна</t>
  </si>
  <si>
    <t>закрытый павильон - мет.ст., обшит метал. с 3-х ст., покрытие метал, пол - бетон  скамейка - 2,8*0,4*0,5, расписание, урна</t>
  </si>
  <si>
    <t>открытый павильон - мет.ст., без обшив. покрытие метал, пол - бетон  скамейка - 4,0*0,4*0,5, расписание, урна, знак (2)</t>
  </si>
  <si>
    <t>оборудовать посадочную платформу, заменить табличку расписания, установить урну</t>
  </si>
  <si>
    <t xml:space="preserve">устройство перил к пандусу, очистка от загрязнений, окраска. установка таблички с расписанием. </t>
  </si>
  <si>
    <t>открытый павильон(5,5*2,09) - мет.ст., обшит метал. с 2-х ст., покрытие шифер, основание - бетон, урна (1), скамейка - 5,5*0,4*0,6, знак (2)</t>
  </si>
  <si>
    <t>закрытый павильон - мет.ст., обшит метал. с 3-х ст., покрытие метал, основ.бетон, скамейка - 5,5*0,4*0,2, знак (2), урна</t>
  </si>
  <si>
    <t>открытый павильон(3,9*1,65) - мет.ст., обшит метал., покрытие металл., основание-асфальтобетон, урна (2), скамейка - 1,5*0,4*0,54</t>
  </si>
  <si>
    <t>открытый павильон-кирпич t=12,5, окраска, перекр.-ж.б.плита,пол-бетон, скамейка-4,7*0,4*0,53, знак(2)</t>
  </si>
  <si>
    <t>закрытый павильон (4*1,52) - мет.каркас с обшив. метал. покрытие метал. (шатров), основание -бетон, покрытие брусчатка. урна , знак (2), скамейка - 3,8*0,4*0,5</t>
  </si>
  <si>
    <t>закрытый павильон (4,6*2,9) - мет.ст.(10*10), обшит метал., покрытие-метал. платформа -бетон, покрытие брусчатка, урна 1шт. Знак (1),  скамейки - 6,0*0,4*0,5</t>
  </si>
  <si>
    <t>ремонт покрытия, очистка от загрязнений, окраска, установить урну</t>
  </si>
  <si>
    <t>закрытый павильон (4,5*1,67) - мет.ст.(d-8), обшит метал., покрытие металл. платформа - асфальтобетон, урна (2), знак (2), расписание, скамейки - 3,4*0,4*0,5</t>
  </si>
  <si>
    <t>ремонт металлического каркаса и  покрытия, очистка от загрязнений, окраска</t>
  </si>
  <si>
    <t>открытый павильон(3,15*2,9) - мет.ст. (10*10), без обшивки, покрытие металл., платформа - брусчатка, урна, скамейка- 3,1*0,4*0,5</t>
  </si>
  <si>
    <t>частичный ремонт покрытия, установка дорожных знаков, расписания, очистка от загрязнений, окраска</t>
  </si>
  <si>
    <t>закрытый павильон - мет.ст. с 3-х ст.обшивка, покрытие оц. железо, пол - асф. Скамейка - 3,8*0,4*0,4</t>
  </si>
  <si>
    <t>открытый павильон - мет.ст.(d=8*10), без обшивки, покрытие оц. железо,  Скамейка - 3,1*0,4*0,48</t>
  </si>
  <si>
    <t>открытый павильон (5,9*2,05) - мет.ст., с обшив.2 ст. метал., покрытие метал., платформа -бетон, урна 1шт., скамейка - 5,8*0,4*0,68, знак (2)</t>
  </si>
  <si>
    <t>восстановить метал.конструкцию, ремонт покрытия (выкрашивание), покрасить урну, очистка от загрязнений, ржавчины, окраска, установка таблички расписания</t>
  </si>
  <si>
    <t>открытый павильон - мет.ст.(d=10*4), без обшивки, покрытие шифер, основание бетонное, скамейка - 6,0*0,4*0,5, пандус (2), знак (2)</t>
  </si>
  <si>
    <t>открытый павильон(9,2*2,6) - мет.ст., без обшивки, покрытие метал., платформа -бетон, покрытие - брусчатка, урна 2шт., пандус, знак (2),  скамейка - 3,6*0,4*0,5</t>
  </si>
  <si>
    <t>восстановить разрушенную брусчатку,покрасить урны, установить перилла к пандусу, очистка от загрязнений, окраска</t>
  </si>
  <si>
    <t>открытый павильон - мет.ст.(d=8*6), с обшив.2ст., покрытие метал, основание бетон, скамейка - 5,0*0,4*0,6, знак (2), урна</t>
  </si>
  <si>
    <t>открытый павильон - мет.ст.(d=8*6), без обшивки, покрытие шифер, основание бетон, скамейка - 5,0*0,4*0,4, знак (2), урна</t>
  </si>
  <si>
    <t>открытый павильон - мет.ст.(d=15*4), без обшивки, покрытие шифер, основание асфальт, скамейка - 8,0*0,4*0,6</t>
  </si>
  <si>
    <t>закрытый павильон (4*2,02) - мет.ст., с обшив.2 ст. метал., покрытие метал., платформа -бетон, покрытие - асфальт, урна 1шт., расписание,  скамейка - 4,0*0,4*0,6, знак (2)</t>
  </si>
  <si>
    <t>павильон (4*1,64) - мет.ст., с обшив.1 ст. метал., покрытие метал., платформа -бетон, покрытие - брусчатка, урна 1шт., пандус, расписание,  скамейка - 4,0*0,4*0,6</t>
  </si>
  <si>
    <t>закрытый павильон (3*1,5) - мет.ст., обшит метал., покрытие металл., платформа -бетон, урна (1), скамейка - 3,0*0,4*0,5, знак (2), расписание</t>
  </si>
  <si>
    <t>закрытый павильон - мет.ст., обшит метал., покрытие металл., основание - асфальт, скамейка - 7,9*0,4*0,6. урна</t>
  </si>
  <si>
    <t>закрытый павильон (4,4*2,3)- мет.ст., с обшив.метал., покрытие метал.(полусфера), платформа -бетон, урна 1шт. Знак (2), расписание,  скамейка - 3,4*0,4*0,55</t>
  </si>
  <si>
    <t xml:space="preserve">востановить посадочную платформу, замена кровли, очистка от ржавчины, загрязнений, окраска. установка дорожных знаков, таблички с расписанием. </t>
  </si>
  <si>
    <t>открытый павильон - мет.ст., с 2-х ст.обшив.метал., покрытие метал., пол - бетон, урна, скамейка - 4,0*0,4*0,5</t>
  </si>
  <si>
    <t>закрытый павильон (3*1,5) - мет.ст., с обшив.метал., покрытие метал. платформа - асфальтобетон, урна 1шт. Знак (2), расписание,  скамейка - 3,0*0,4*0,42</t>
  </si>
  <si>
    <t>открытый павильон - мет.ст., без обшив., покрытие шифер, основание - асфальт, знак (2), расписание, урна (2)  скамейка - 5,5*0,4*0,46</t>
  </si>
  <si>
    <t>устранить трещины, вспучивание, установить урны, очистка от загрязнений, окраска, устройство дорожных знаков, таблички расписания</t>
  </si>
  <si>
    <t>открытый павильон - мет.ст., обшит метал.с 2-х ст., пол - бетон, покрытие металл., скамейка - 7,4*0,4*0,4, расписание, знак (2).</t>
  </si>
  <si>
    <t>открытый павильон (6,8*1,65) - мет.ст., с обшив.метал. с 2-х ст. (барьер), покрытие метал. платформа -бетон, покрытие брусчатка, урна 1шт. Знак (2), расписание,  скамейка - 4,8*0,4*0,50</t>
  </si>
  <si>
    <t>устранить трещины, покрасить урны, очистка от загрязнений, ржавчины, окраска</t>
  </si>
  <si>
    <t>закрытый павильон (5,72*1,52) - железобетонные панели t=11,  перекр.-ж.бетон,знак (2), платформа - железобетонная плита,  урна, скамейка- 5,5*0,4*0,5</t>
  </si>
  <si>
    <t>заделка трещин, сколов, окраска урны. Заменить табличку расписания</t>
  </si>
  <si>
    <t>закрытый павильон (3,52*1,6) - мет.ст., обшит метал., покрытие металл., платформа -бетон, урна (2), скамейка - 3,4*0,4*0,45</t>
  </si>
  <si>
    <t>открытый павильон - мет.ст.(d=10), без обшивки, покрытие оц. железо, пол асфальт. скамейка - 2,1*0,4*0,44</t>
  </si>
  <si>
    <t>открытый павильон(1,7*4,15) - мет.ст. d=0,1  без обшив.,  покрытие метал, платформа -бетон, скамейка - 4,1*0,4*0,6, урна</t>
  </si>
  <si>
    <t xml:space="preserve">ремонт бетон.основания,устранение ржавчины, окраска, установка дорожных знаков, таблички расписания, </t>
  </si>
  <si>
    <t>Улица Арсеньева (1 ост)</t>
  </si>
  <si>
    <t>устранение трещин и щелей, ремонт металлоконструкций</t>
  </si>
  <si>
    <t>восстановить бетонное основание, обшивку, окраска, установить табличку расписания</t>
  </si>
  <si>
    <t xml:space="preserve">устранение трещин и щелей, замена кровли, очистка от ржавчины, загрязнений, окраска. установка таблички с расписанием. </t>
  </si>
  <si>
    <t xml:space="preserve">замена посадочной платформы, очистка от ржавчины, загрязнений, окраска. установка дорожных знаков, таблички с расписанием. </t>
  </si>
  <si>
    <t>бетон.плита, покр.брус.,павильон-кирпич t=15, облиц.плиткой, покрытие-оц.железо,скамейка-6,1*0,4*0,43</t>
  </si>
  <si>
    <t>устранение трещин, выбоин, очистка от ржавчины, загрязнений, окраска.</t>
  </si>
  <si>
    <t>ремонт металлических конструкций, устранение трещин и выкрашивания покрытия установка знаков, таблички расписания, скамейки</t>
  </si>
  <si>
    <t>замена всех конструкций, установка постоянных дорожных знаков, расписания, урны</t>
  </si>
  <si>
    <t>замена всех конструкций, установка  дорожных знаков, расписания, урны</t>
  </si>
  <si>
    <t>ремонт покрытия, покрасить урны, очистка от загрязнений, окраска, крепление обшивки</t>
  </si>
  <si>
    <t>восстановить разрушенную брусчатку, покрасить урны, очистка от загрязнений, окраска</t>
  </si>
  <si>
    <t>восстановить покрытие, покрасить урну, очистка от загрязнений, окраска</t>
  </si>
  <si>
    <t>4. Ост. "Гор больница" (н.ч.с.)</t>
  </si>
  <si>
    <t>закрытый павильон (5,4*2,65) - мет.ст.,кирпич t=25, штукат., покрытие металл., платформа -бетон, покрытие асфальт, урна , скамейка - 5,0*0,4*0,6, знак (2), расписание</t>
  </si>
  <si>
    <t>устранить трещины, выбоины, покрасить урны, очистка от загрязнений, ржавчины, окраска</t>
  </si>
  <si>
    <t>закрытый павильон - мет.ст.d=12, заполн. Бетон t-13, окрас., покрытие бетон, пол щебень, знак (1), урна,  скамейки - 12,1*0,4*0,35</t>
  </si>
  <si>
    <t>открытая платформа -ж. бетонная плита, покр. асфальт, урна 1шт., знак (2). Скамейка - 3,0*0,4*0,6</t>
  </si>
  <si>
    <t>закрытый павильон (3,9*1,42) - железобетонные панели t=11,  перекр.-ж. бетон, платформа -бетон, покрытие асфальт, скамейка- 3,5*0,4*0,5</t>
  </si>
  <si>
    <t>закрытый павильон (5,4*1,4) - железобетонные панели t=11, перекр.-ж. бетон, платформа -бетон,  урна 1шт., знак (2), расписание, скамейка- 5,1*0,4*0,6</t>
  </si>
  <si>
    <t>очистка от ржавчины, загрязнений, окраска. установка урны</t>
  </si>
  <si>
    <t>закрытый павильон (9,4*2,8) - кирпич t=25, окр.,  пол бетон., покрытие -оц.железо, платформа - бетон, скамейка (2,5*0,4*0,5), табличка, знак (2), урна</t>
  </si>
  <si>
    <t>2. Ост. «Техно центр» (н.ч.с.)</t>
  </si>
  <si>
    <t xml:space="preserve">очистка от ржавчины, загрязнений, окраска. установка дорожных знаков, таблички с расписанием. </t>
  </si>
  <si>
    <t>открытый павильон-мет.ст., кирпич t=15, шт-ка, побелка, пол бетон., покрытие - шифер, скамейка (2,5*0,4*0,45), табличка</t>
  </si>
  <si>
    <t>закрытый павильон-кирпич t=25, шт-ка, побелка, пол бетон., перекр.-ж. бетон</t>
  </si>
  <si>
    <t>ремонт кровли и бетон.основания,устранение ржавчины, окраска, установка дорожных знаков, таблички расписания, урны</t>
  </si>
  <si>
    <t>ремонт бетон.основания,устранение ржавчины, окраска, установка дорожного знака, таблички расписания, урны</t>
  </si>
  <si>
    <t>закрытый павильон-кирпич t=38, окраска, пол асфальт., перекр.-ж.бетон плиты, скамья (5,5*0,45*0,5), Знак (2), урна, расписание</t>
  </si>
  <si>
    <t>открытая платформа - ж.бетон.плиты, покр. - бетон, урна (1), знак (2), расписание, скамейка - 1,5*0,4*0,5</t>
  </si>
  <si>
    <t>открытая платформа - ж.бетон.плиты, урна, знак (2), скамейка (в стороне)</t>
  </si>
  <si>
    <t>открытая платформа - ж.бетон.плиты, покр. - асфальт, урна</t>
  </si>
  <si>
    <t>открытая платформа - ж.бетон.плиты, покр. - асфальт, урна, скамейка - 6,0*0,5*0,65</t>
  </si>
  <si>
    <t>3. Ост. "Гор больница" (ч.с.)</t>
  </si>
  <si>
    <t>открытый павильон - мет.ст. d=0,1  обшив.по перим.метал.,  покрытие шифер, пол бетон, скамейка - 3,0*0,4*0,5</t>
  </si>
  <si>
    <t>закрытый павильон - мет.каркас с обшив. метал. покрытие метал, пол бетон знак (1),урна, расписание.  Скамейка - 3,3*0,4*0,55</t>
  </si>
  <si>
    <t>Улица Агеева (1 ост)</t>
  </si>
  <si>
    <t>установка отсут.листов обшивки, устранение протечек кровли, окраска, заделка трещин и сколов</t>
  </si>
  <si>
    <t>закрытый павильон (5,96*1,76) - железобетонные панели t=11,  платформа - железобетонная плита, покрытие брусчатка, урна , знак (2),урна, расписание.  Скамейка- 5,7*0,4*0,54</t>
  </si>
  <si>
    <t>закрытый павильон (5,1*2,15) - железобетонные панели t=11 оштукат., кровля шифер, платформа - железобетонная плита, покрытие бетон  Скамейка- бетон 5,1*0,4*0,47</t>
  </si>
  <si>
    <t>устройство нового покрытия, очистка от грязи. Заделка трещин. Установка дорожных знаков, таблички расписания, урны</t>
  </si>
  <si>
    <t>открытый павильон (4,07*1,56) - мет.каркас (d=10) без обшив. покрытие метал, платформа - железобетонная плита, урна , знак (2).  Скамейка (переносная) - 2,5*0,4*0,43</t>
  </si>
  <si>
    <t>заделка трещин и сколов, очистка от ржавчины и загрязн., окраска</t>
  </si>
  <si>
    <t>открытый павильон(7*3,88) - мет.ст.(d-10), с обшив. 1ст. Мет., покрытие метал. платформа покрытие асфальт, урна, лестница метал., лестница бетон (разрушен), урна, Знак (2),  скамейка - 6,0*0,4*0,55</t>
  </si>
  <si>
    <t>ремонт бетонной лестницы, установка таблички расписания</t>
  </si>
  <si>
    <t>открытый павильон (3,05*3,8) - мет.ст.(10*10), без обшивки, покрытие метал. платформа -бетон, покрытие брусчатка, урна 2шт. Знак (2),  скамейка - 3,0*0,4*0,58</t>
  </si>
  <si>
    <t>покрасить урны, очистка от загрязнений, окраска</t>
  </si>
  <si>
    <t>закрытый павильон (6,1*1,76) -железобетонные панели t=11, побелка. платформа -  покрытие асфальтобетон, урна. Скамейка-5,8*0,4*0,54</t>
  </si>
  <si>
    <t>ремонт асф. Покрытия, побелка, установка дорожных знаков, таблички с расписанием</t>
  </si>
  <si>
    <t>закрытый павильон (5,96*1,61) -железобетонные панели t=11, побелка, перекр. - бетонное, платформа -  покрытие бетон, урна (2), скамейка-5,7*0,4*0,60,знак(2). Табличка</t>
  </si>
  <si>
    <t>закрытый павильон (6,1*3,1) -железобетонные панели t=12, побелка, перекр. ж/бетонное (8,5*5,9). платформа -  покрытие асфальтобетон, урна. Скамейка (камен.)-5,8*0,4*0,43. знаки (2)</t>
  </si>
  <si>
    <t>замена покрытия и урны, заделка трещ..побелка,замена скамеек, пола, устранение протечек установка  таблички с расписанием</t>
  </si>
  <si>
    <t>открытый павильон- метал.ст.с обшив.1ст.метал.с окрас., пол-асф., скамейка-бетон (4*0,4*0,5), знак (2), расписание</t>
  </si>
  <si>
    <t>закрытый павильон-кирпич t=25, побелка, пол-асф., перекр.-ж.бетон. (9*4,7),скамейка-3,5*0,4*0,6. знак (2), расписание</t>
  </si>
  <si>
    <t>закрытый павильон (4*1,5) - мет.каркас с обшив. метал. покрытие метал, платформа - бетон, урна, знак (1),скамейка - 3,8*0,4*0,4</t>
  </si>
  <si>
    <t>заделка трещин и сколов, ремонт метал.каркаса, очистка от загрязн., окраска</t>
  </si>
  <si>
    <t>закрытый павильон (6,05*1,67) -железобетонные панели t=11, окраска. платформа - ж.бет. плита покрытие брусчатка, урна. Скамейка-5,7*0,4*0,5. знак (20</t>
  </si>
  <si>
    <t>крытый павильон (5,4*1,4) -железобетонные панели t=11, окраска. платформа - ж.бет. плита покрытие асфальт, урна (2). Скамейка-5,1*0,4*0,54. знак (2), расписание</t>
  </si>
  <si>
    <t xml:space="preserve">устран.трещин, сколов очищ.от загряз, окраска </t>
  </si>
  <si>
    <t>закрытый павильон (3,5*1,35) - мет.каркас с обшив. метал. покрытие метал, знак (2), платформа - асфальтобетон, урна, скамейка - 3,5*0,4*0,5</t>
  </si>
  <si>
    <t>открытый павильон (3,0*2,0) - мет.ст d=10, обшит.2ст.метал., покрытие метал, платформа - бетон, знак (2),скамейка - 3,0*0,4*0,5, урна</t>
  </si>
  <si>
    <t>установить табличку расписания, укрепить обшивку, окраска</t>
  </si>
  <si>
    <t>открытый павильон  - мет.ст d=10, обшит.2ст.метал., покрытие метал, пол - асфальт, знак (1),скамейка - 5,5*0,4*0,5, урна</t>
  </si>
  <si>
    <t>установить табличку расписания,  окраска, трещины,вспучивания</t>
  </si>
  <si>
    <t>открытый павильон - кирпич. стена оштукат.- 14,7м. T=25 . Перекр.-ж.бетонная плита, основание - бетон, знак (2),скамейка - 7,4*0,4*0,5, урна</t>
  </si>
  <si>
    <t>заделка трещин, выбоин, ремонт отделки, замена урны, установка таблички расписания</t>
  </si>
  <si>
    <t>открытый павильон - кирпич. стена - 9,4м. T=25 . Перекр.-ж.бетонная плита, основание - бетон, знак (2),скамейка - 10,5*0,4*0,5, урна</t>
  </si>
  <si>
    <t>заделка трещин, выбоин,  замена урны, установка таблички расписания</t>
  </si>
  <si>
    <t>открытый павильон - мет.ст d=10, обшит.1ст.метал., покрытие шифер, основание - асфальт, скамейка - 4,3*0,4*0,6, знак (2)</t>
  </si>
  <si>
    <t>открытый павильон - кирпич. стена - 7,9м. T=25 . Перекр.-ж.бетонная плита, основание - бетон, знак (2),скамейка - 7,5*0,4*0,6, урна, расписание</t>
  </si>
  <si>
    <t>замена урны, установка посадочная платформа завышена</t>
  </si>
  <si>
    <t>1. Ост. "3-ий км" (ч.с.)</t>
  </si>
  <si>
    <t>открытый павильон (6,4*2,4) - мет.каркас с обшив.2 ст. метал. покрытие метал, знак (1), платформа - асфальтобетон, расписание, скамейка - 4,5*0,4*0,5</t>
  </si>
  <si>
    <t>заделка трещин и сколов, дыры, очистка от загрязн., ржавчины, окраска</t>
  </si>
  <si>
    <t>открытый павильон (3*1,5) - мет.ст., обшит метал., покрытие металл., платформа -асфальт, урна (1), скамейка - 3,0*0,4*0,5</t>
  </si>
  <si>
    <t>устранение трещин, окраска, установка знаков, таблички расписания</t>
  </si>
  <si>
    <t>открытый павильон (4,04*1,5) - мет.ст., обшит метал., покрытие металл., платформа -асфальт, урна (1), знак (2), скамейка - 4,0*0,4*0,5</t>
  </si>
  <si>
    <t>восстановление основания, устранение трещин, окраска, установка таблички расписания</t>
  </si>
  <si>
    <t>открытый павильон (3*1,5) - мет.ст., обшит метал., покрытие металл., платформа -асфальт, урна (1), знак (2), скамейка - 3,0*0,4*0,5</t>
  </si>
  <si>
    <t>устранение трещин, окраска, установка таблички расписания</t>
  </si>
  <si>
    <t>ремонт металлических конструкций, устранение трещин , выкрашивания, устройство перил, установка таблички расписания</t>
  </si>
  <si>
    <t>ремонт металлических конструкций, устранение трещин , выкрашивания, установка таблички расписания</t>
  </si>
  <si>
    <t>ремонт металлических конструкций, устранение трещин , выкрашивания, платформа завышена</t>
  </si>
  <si>
    <t>открытый павильон(6,0*3,0) - мет.ст., без обшив., покрытие металл., основание-брусчатка, урна (2), скамейка - 3,0*0,4*0,5, знак (2)</t>
  </si>
  <si>
    <t xml:space="preserve">замена посадочной платформы, очистка от ржавчины, загрязнений, окраска. установка таблички с расписанием. </t>
  </si>
  <si>
    <t>открытый павильон(6,8*3,5) - мет.ст.,  обшит.1ст метал., покрытие поликарб., основание-брусчатка, урна (1), скамейка - 4,8*0,4*0,5, знак (2), расписание, пандус с перилами</t>
  </si>
  <si>
    <t xml:space="preserve">очистка от загрязнений, окраска.  </t>
  </si>
  <si>
    <t>открытый павильон(4,0*1,6) - мет.ст.,  обшит.1ст метал., покрытие метал., основание-асфальт, урна (1), скамейка - 4,0*0,4*0,6, знак (2), расписание, пандус с перилами</t>
  </si>
  <si>
    <t xml:space="preserve">ремонт пандуса, очистка от загрязнений, окраска.  </t>
  </si>
  <si>
    <t>открытый павильон (3,15*2,9) - мет.ст.(5*5,2*2), без обшивки, покрытие поликарбон., платформа - асфальтобетон, урна, знак.  Скамейка (переносная)- 3,1*0,4*0,5</t>
  </si>
  <si>
    <t>открытый павильон  - мет.ст.(5*4),  обшивка мет.решет., покрытие оц.железо, платформа - бетон.плитка, урна (2), знак. Скамейка (4шт)- 2,2*0,4*0,5, расписание</t>
  </si>
  <si>
    <t>установка дорожного знака</t>
  </si>
  <si>
    <t>открытая платформа - ж.бетон.плиты, покр. - асфальт, урна (1), знак (2), скамейка - 1,5*0,4*0,5, пандус</t>
  </si>
  <si>
    <t>открытая платформа - ж.бетон.плиты, покр. - асфальт, урна (1), знак (2), расписание, скамейка - 6,0*0,4*0,6, пандус с перилами</t>
  </si>
  <si>
    <t>открытая платформа - ж.бетон.плиты, покр. - бетон, урна (1), знак (2), скамейка - 2,4*0,4*0,6</t>
  </si>
  <si>
    <t>Улица Комарова (4 ост)</t>
  </si>
  <si>
    <t>1. Ост. ул. Комарова – Ленинградская (кольцо)  (ч.с.)</t>
  </si>
  <si>
    <t>платформа - ж.б плита. Покрытие бетон, знаки 1, урна, скамейка (1,5*0,45*0,5)</t>
  </si>
  <si>
    <t>платформа занижена, установка знака, таблички расписания, замена урны</t>
  </si>
  <si>
    <t>закрытый павильон  - мет.ст.(4,05*1,5),  обшивка мет.3ст., покрытие поликарб., платформа - бетон.плитка, урна (1), знак (2). Скамейка - 4,0*0,4*0,6, пандус</t>
  </si>
  <si>
    <t>торг. киоск - 2шт.</t>
  </si>
  <si>
    <t>открытый павильон  - мет.ст.(10),  без обшивки, покрытие оц.железо, платформа - брусчатка, урна (2), знак (2). Скамейка (2шт)- 2,2*0,4*0,5, расписание, пандус</t>
  </si>
  <si>
    <t>установка перил к пандусу</t>
  </si>
  <si>
    <t>установка таблички расписания, перил к пандусу, очистка от загрязнений</t>
  </si>
  <si>
    <t>открытый павильон  - мет.ст.(5*4),  обшивка мет.решет., покрытие оц.железо, платформа - бетон.плитка, урна (2), знак (2). Скамейка (4шт)- 2,2*0,4*0,5, расписание</t>
  </si>
  <si>
    <t>замена таблички расписания, ремонт бетонного покрытия</t>
  </si>
  <si>
    <t>Улица Плеханова (2 ост)</t>
  </si>
  <si>
    <t>открытая платформа - ж.бетон.плиты</t>
  </si>
  <si>
    <t xml:space="preserve"> установка знаков, таблички расписания, урны, скамейки, устройство заездного кармана</t>
  </si>
  <si>
    <t>1. Ост. «Сельскохозяйственная» (ч.с.) (ул. Пограничная)</t>
  </si>
  <si>
    <t xml:space="preserve"> покрытие - бетонные плиты, знак (2)</t>
  </si>
  <si>
    <t>неудовлетв</t>
  </si>
  <si>
    <t>установка новой остановки</t>
  </si>
  <si>
    <t>открытый павильон(4,7*2,1) - мет.ст., с обшив.2 ст. метал., покрытие поликарб. (полусфера), платформа -бетон, покрытие - брусчатка, урна 1шт., пандус, знак (2),  скамейка - 5,8*0,4*0,5</t>
  </si>
  <si>
    <t>2. Ост. «Сельскохозяйственная» (н.ч.с.) (ул. Пограничная)</t>
  </si>
  <si>
    <t>открытый павильон - мет.ст., с обшив. метал.решет., покрытие метал., основание бетон,  знак (2),  скамейка - 4,5*0,4*0,5</t>
  </si>
  <si>
    <t>восстановить основание, установить урну, табличку расписания</t>
  </si>
  <si>
    <t>1. Ост. «МРО» конечная</t>
  </si>
  <si>
    <t>открытый павильон- мет.ст., с обшив.метал. с 2-х ст. (барьер), покрытие шифер, основание - асфальт, урна 1шт.  расписание,  скамейка - 4,0*0,4*0,4</t>
  </si>
  <si>
    <t>устранить трещины, покрасить урну, очистка от загрязнений, ржавчины, окраска</t>
  </si>
  <si>
    <t>открытый павильон -мет.ст.,  кирпич t=15, оштук.,  пол бетон., покрытие -ж.бетон.плита,  знак (2)</t>
  </si>
  <si>
    <t>заделка трещин, сколов, замена основания, установить табличку расписания, урну, скамейки</t>
  </si>
  <si>
    <t>Улица Сельскохозяйственная (3 ост)</t>
  </si>
  <si>
    <t xml:space="preserve">2. Ост. «кинобаза» (н.ч.с.) </t>
  </si>
  <si>
    <t>открытый павильон (*4*1,55) - мет.ст., с обшив. 1ст.метал., покрытие поликарб., основание асфальтобетон,  скамейка - 4,0*0,4*0,5, расписание</t>
  </si>
  <si>
    <t>восстановить мет.обреш.основания, установить урну, знаки</t>
  </si>
  <si>
    <t>открытый павильон - мет.ст., обшит  поликарб, покрытие  поликарб, основание брусчатка, скамейка - 3,3*0,4*0,5, знак (2), расписание</t>
  </si>
  <si>
    <t>закрытый павильон -мет. каркас, обшит  поликарб.-барьер, покрытие- поликарб, основание-бетон, скамейка 4,6*0,4*0,4, урна, знак (2)</t>
  </si>
  <si>
    <t>открытый павильон - метал.каркас с обшив. 1ст. металл, покр.- поликарб. 3нак 5.16 (2)</t>
  </si>
  <si>
    <t>закрытый павильон (4,56*1,64) - метал.каркас с обшив.метал., покр.- поликарб, основание - бетон, покрытие брусчатка, урна, знак  (2), расписание</t>
  </si>
  <si>
    <t>закрытый павильон (12,2*3,6) - мет.ст.(10*10), обшит метал., покрытие  поликарб, платформа -бетон, покрытие брусчатка, пандус. Знак (2), расписание, скамейки - 4,0*0,4*0,5</t>
  </si>
  <si>
    <t>закрытый павильон (4,56*1,45) - мет.ст., обшит  поликарб, покрытие  поликарб, основание - бетон, покрытие - брусчатка, урна (1), скамейка - 3,0*0,4*0,5, знак (2), расписание</t>
  </si>
  <si>
    <t>закрытый павильон (4,56*1,45) - мет.ст., обшит  поликарб, покрытие  поликарб, скамейка - 3,0*0,4*0,5, основание- платформа -бетон, покрытие - брусчатка, урна (1), знак (2), пандус</t>
  </si>
  <si>
    <t>открытая платформа - ж.бетон.плиты, покр. - асфальт, урна (2), знак (2), скамейка - 2,5*0,4*0,5</t>
  </si>
  <si>
    <t>открытый павильон-кирпич l=6,1, t=25 , перекр.-ж.б.плита, пол-бетон, скамейка-7,5*0,4*0,5, знак, урна. Расписание</t>
  </si>
  <si>
    <t>устранение сколов, трещин</t>
  </si>
  <si>
    <t>открытый павильон(6,7*2,05) - мет.ст., обшит метал., покрытие металл., основание-бетон, урна, расписание, скамейка - 3,0*0,4*0,5</t>
  </si>
  <si>
    <t>замена посадочной платформы, павильона, установка дорожных знаков</t>
  </si>
  <si>
    <t>2. Ост. Водоканал (м-н «Лукост») (ч.с.)</t>
  </si>
  <si>
    <t xml:space="preserve">3. Ост. Водоканал («Шиномонтаж») (н.ч.с.) </t>
  </si>
  <si>
    <t>открытая платформа -ж.бетон.плита,  урна (1), знак (2), расписание, скамейки</t>
  </si>
  <si>
    <t>открытый павильон (6,6*2)- мет.ст., обшит метал. с 2-х ст., покрытие метал.,основ.-бет.плиты, скамейка - 4,5*0,4*0,5, урна, знак (2)</t>
  </si>
  <si>
    <t xml:space="preserve">очистка от ржавчины, загрязнений, окраска. Установка  таблички с расписанием, замена урны. </t>
  </si>
  <si>
    <t>открытая платформа -ж.бетон.плита,  урна (1), знак (2)</t>
  </si>
  <si>
    <t xml:space="preserve">устранение трещин и щелей, ремонт металлоконструкций. Установка таблички с расписанием, скамейки. </t>
  </si>
  <si>
    <t>2. Ост. «Почта» (ч.с.) "Кредитный союз родина"</t>
  </si>
  <si>
    <t>открытый павильон (5,75*1,7)- мет.ст., без обшив., покрытие метал.,основ.-бет.плиты, скамейка - 2,4*0,4*0,5, урна (2), знак (2), расписание</t>
  </si>
  <si>
    <t xml:space="preserve">ремонт основания, окраска. </t>
  </si>
  <si>
    <t>открытый павильон - мет.ст., без обшив., покрытие метал.,основ.-асфальт, скамейка - 6,5*0,4*0,6, урна, знак (2), расписание</t>
  </si>
  <si>
    <t>6. Ост. «Педагогический институт» (ч.с.)</t>
  </si>
  <si>
    <t>открытый павильон (3*1,5) - мет.ст., обшив. с 1ст. метал, покрытие метал.,основ.-асфальт, скамейка - 3,0*0,4*0,4, урна, знак (2)</t>
  </si>
  <si>
    <t>замена асфальт.покрытия, установка таблички расписания</t>
  </si>
  <si>
    <t>5. Ост. «Педагогический институт» (физ. мат.)  (ч.с.)</t>
  </si>
  <si>
    <t>открытая платформа -ж.бетон.плита,  покрытие-асфальт, урна (2), знак (2), скамейки, пандус с перилами</t>
  </si>
  <si>
    <t>торговый киоск - 3шт.</t>
  </si>
  <si>
    <t>открытый павильон (6,0*3,5*3) - мет.ст., без обшив., покрытие поликарб.,основ.-брусч., скамейка - 8шт, урна (6), знак (1), пандус (3)</t>
  </si>
  <si>
    <t>4. Ост. «Рынок» (н.ч.с.) (№2,3,40,5,4)</t>
  </si>
  <si>
    <t xml:space="preserve">торговый киоск </t>
  </si>
  <si>
    <t>открытый павильон (7,5*3,5) - мет.ст., без обшив., покрытие поликарб.,основ.-брусч., скамейка - 3шт, урна (3), знак (2), расписание</t>
  </si>
  <si>
    <t xml:space="preserve"> очистка от загрязнений</t>
  </si>
  <si>
    <t>открытый павильон (3,4*1,65) - мет.ст.,  обшив. 1ст. Мет., покрытие поликарб.,основ.-брусч., скамейка - 4,5*0,45*0,5, урна (6), знак (1), расписание, пандус</t>
  </si>
  <si>
    <t xml:space="preserve"> очистка от загрязнений, установка перил к пандусу</t>
  </si>
  <si>
    <t>открытая платформа -ж.бетон.плита,  урна (1),  скамейки</t>
  </si>
  <si>
    <t>устранение трещин и щелей, ремонт металлоконструкций, установка знаков, таблички расписания</t>
  </si>
  <si>
    <t>1. Ост. «Аптека»</t>
  </si>
  <si>
    <t>открытая платформа -ж.бетон.плита,  знак (2) (времен)</t>
  </si>
  <si>
    <t>открытый павильон (3,6*2,3)- мет.ст., обшив. 2ст мет., покрытие метал.,основ.-асфальт, скамейка - 6,0*0,4*0,4, урна, знак (2), расписание</t>
  </si>
  <si>
    <t>очистка от загрязнений</t>
  </si>
  <si>
    <t>2. Ост. м-н «Сокол» (н.ч.с.)</t>
  </si>
  <si>
    <t>открытый павильон - мет.ст., с обшив.1 ст. метал., покрытие метал., платформа -бетон, покрытие - асфальт, урна 1шт., скамейка - 5,8*0,4*0,5</t>
  </si>
  <si>
    <t>восстановить покрытие, покрасить урну, очистка от загрязнений, ржавчины, окраска</t>
  </si>
  <si>
    <t>открытый павильон (6,65*2,35) - мет.ст., обшит метал., покрытие металл., платформа -бетон, урна (1), скамейка - 6,6*0,4*0,45</t>
  </si>
  <si>
    <t>закрытый павильон (5,92*1,75) - железобетонные панели t=11,  платформа - железобетонная плита, покрытие бет.плитка, знак (2),урна, .  Скамейка- 5,7*0,4*0,5</t>
  </si>
  <si>
    <t>открытая платформа -ж.бетон.плита, покрытие асфальт, знак (2), скамейки</t>
  </si>
  <si>
    <t>устранение трещин и щелей, установка урны, таблички расписания</t>
  </si>
  <si>
    <t>открытая платформа -ж.бетон.плита, покрытие асфальт, знак (2), урна, скамейка</t>
  </si>
  <si>
    <t>устранение трещин и щелей, ремонт металлоконструкций, установка таблички расписания</t>
  </si>
  <si>
    <t>не оборудована, знак</t>
  </si>
  <si>
    <t>12. Ост. «Картонный комбинат» (конечная) (н.ч.с.)</t>
  </si>
  <si>
    <t>закрытый павильон (11,5*4,1+0,8*0,4*2) - кирпич t=38, внутр.штукат., покрытие ж.бет.плита, пол -бетон, скамейка - 10,5*0,4*0,5, знак (2)</t>
  </si>
  <si>
    <t xml:space="preserve">побелка. установка таблички с расписанием, урны </t>
  </si>
  <si>
    <t>11. Ост. «УЦ» (н.ч.с.)</t>
  </si>
  <si>
    <t>открытый павильон - мет.ст., обшив. Барьер 3ст мет., покрытие метал.,пола нет, скамейка - 3,3*0,4*0,5</t>
  </si>
  <si>
    <t>устройство пола, знаков, урны, таблички расписания</t>
  </si>
  <si>
    <t>павильон - мет.ст., с обшив.метал. по периметру, покрытие поликарб. (полусфера), пол - асфальт, знак (2), урна, скамейка - 4,8*0,4*0,6</t>
  </si>
  <si>
    <t>закрытый павильон (3,82*1,42) - железобетонные панели t=11,  перекр.-ж. бетон, платформа -бетон, покрытие асфальт, скамейка- 3,6*0,4*0,6, знак (2)</t>
  </si>
  <si>
    <t>устранить трещины, вспучивание, установить урны, очистка от загрязнений, побелка, устройство таблички расписания</t>
  </si>
  <si>
    <t>закрытый павильон - мет.ст., обшив.3ст. мет., покрытие метал.,пола нет, скамейка - 5,0*0,4*0,6, знак (2)</t>
  </si>
  <si>
    <t>устройство посадочной платформы, пола, урны, таблички расписания</t>
  </si>
  <si>
    <t>1. Ост. «Детская больница»</t>
  </si>
  <si>
    <t>не оборудована, табличка расписания</t>
  </si>
  <si>
    <t>Дорога № 1 (на "Пивзаводские сады"</t>
  </si>
  <si>
    <t>открытый павильон - мет.ст., обшив. 1ст.оргал., покрытие шифер, пол-нет скамейка - 5,5*0,4*0,5</t>
  </si>
  <si>
    <t>16. Ост. «Сады» 2 (по требованию) (ч.с.)</t>
  </si>
  <si>
    <t>знак</t>
  </si>
  <si>
    <t>открытый павильон - мет.ст., обшив. 1ст.метал., покрытие шифер, пол-нет лавка</t>
  </si>
  <si>
    <t>улица Дубовая роща (1ост)</t>
  </si>
  <si>
    <t>16. Ост. «Сады» 3 (по требованию) (ч.с.)</t>
  </si>
  <si>
    <t>4. Ост. «Сады - конечная» (н.ч.с.)</t>
  </si>
  <si>
    <t>закрытый павильон (5,42*1,42) - железобетонные панели t=11,  платформа - железобетонная плита, покрытие асфальт, Скамейка- 5,7*0,4*0,6</t>
  </si>
  <si>
    <t>устранение трещин, вспучивания, установка знаков, урны, таблички расписания</t>
  </si>
  <si>
    <t>устройство новой платформы</t>
  </si>
  <si>
    <t>открытый павильон - мет.ст., обшив.1ст.мет., покрытие метал.,основ.-брусч., скамейка - 5,3*0,4*0,5, расписание</t>
  </si>
  <si>
    <t>установка знаков, урны</t>
  </si>
  <si>
    <t>открытая платформа -ж.бетон.плита,  покр.асфальт</t>
  </si>
  <si>
    <t>открытая платформа -ж.бетон.плита,  покр.асфальт, знак (2)</t>
  </si>
  <si>
    <t>устранение трещин и щелей,  установка урны, таблички расписания, скамейки</t>
  </si>
  <si>
    <t>устранение трещин и щелей,  установка знаков, урны, таблички расписания, скамейки</t>
  </si>
  <si>
    <t>закрытый павильон (3*1,5) - мет.ст., обшит метал., покрытие металл., платформа -асфальтобетон, урна (1), скамейка - 3,0*0,4*0,6, знак (2),</t>
  </si>
  <si>
    <t>ремонт платформы, устранение трещин, установление таблички расписания</t>
  </si>
  <si>
    <t>3. ост. "Поворот" (ч.с.)</t>
  </si>
  <si>
    <t xml:space="preserve">открытая платформа -ж.бетон.плита, знак (2), </t>
  </si>
  <si>
    <t>ремонт платформыустранение трещин и щелей, установка урны, скамейки, таблички расписания</t>
  </si>
  <si>
    <t xml:space="preserve">открытая платформа -ж.бетон.плита,  </t>
  </si>
  <si>
    <t>установка новой платформы, знаков, урны, скамеек</t>
  </si>
  <si>
    <t>3. Ост. «Пинегина» (ч.с.)</t>
  </si>
  <si>
    <t>открытая платформа -ж.бетон.плита,  урна (1), знак (2), скамейки</t>
  </si>
  <si>
    <t>устранение трещин и щелей, ремонт металлоконструкций, установка таблички с расписанием</t>
  </si>
  <si>
    <t>открытая платформа -ж.бетон.плита,  урна (1), скамейки</t>
  </si>
  <si>
    <t>устранение трещин и щелей, ремонт металлоконструкций, установка таблички с расписанием, знаки</t>
  </si>
  <si>
    <t>1. Ост. «Тубдиспансер»</t>
  </si>
  <si>
    <t>открытый павильон - мет.ст., без обшив., покрытие метал.,основ.-бет.плитка, скамейка - 6,0*0,4*0,5, урна, знак (2), расписание</t>
  </si>
  <si>
    <t>открытый павильон - мет.ст., без обшив., покрытие метал.,основ.- брусч., скамейки - 2,2*0,45*0,7*5, урна (3), знак (3), расписание, пандус (3)</t>
  </si>
  <si>
    <t>установка перил к пандусу, ремонт основания</t>
  </si>
  <si>
    <t xml:space="preserve">открытый павильон - мет.ст., без обшив., покрытие поликарб.,основ.- брусч., скамейки - 10,5*0,45*0,5, урна (2), знак (3), расписание, пандус </t>
  </si>
  <si>
    <t>открытая платформа -ж.бетон.плита,  урна (2), знак (2),  скамейки</t>
  </si>
  <si>
    <t>открытый павильон (6,3*1,6)- мет.ст., без обшив., покрытие метал.,основ.-бетон, скамейка - 6,0*0,4*0,5, урна, знак (2), расписание</t>
  </si>
  <si>
    <t>заменить табличку расписания, ремонт металлоконструкции</t>
  </si>
  <si>
    <t xml:space="preserve">открытый павильон - мет.ст., без обшив., покрытие метал.,основ.-брусч., скамейка - 7,0*0,4*0,5, урна, знак (2), </t>
  </si>
  <si>
    <t>заменить урну, установить табличку расписания</t>
  </si>
  <si>
    <t>открытая платформа -ж.бетон.плита, покрытие - асфальт, урна (1), знак (2), скамейки</t>
  </si>
  <si>
    <t>устранение трещин и щелей, ремонт металлоконструкций, установить табличку расписания</t>
  </si>
  <si>
    <t>закрытый павильон (4,0*1,5) - мет.каркас с обшив. метал. покрытие метал, знак (2), платформа - бетон, покр. -брусч., урна (2), скамейка - 3,8*0,4*0,5</t>
  </si>
  <si>
    <t>Улица Лимичевская (3 ост)</t>
  </si>
  <si>
    <t>2. Ост. «АКСО» (н.ч.с.)</t>
  </si>
  <si>
    <t>открытый павильон - мет.ст., без обшив., покрытие поликарб.,основ.-бет.плитка, скамейка - 3,2*0,4*0,6, расписание</t>
  </si>
  <si>
    <t>ремонот кровли, основания, скамеек, установка знаков, урны</t>
  </si>
  <si>
    <t>открытый павильон  - мет.ст.,кирпич t=25, штукат., покрытие металл., основание -бетон, урна , скамейка - 2,5*0,4*0,4, знак (2)</t>
  </si>
  <si>
    <t xml:space="preserve">замена бет.основания, очистка от загрязнений, ржавчины, побелка. установка таблички с расписанием. </t>
  </si>
  <si>
    <t>3. Ост. «Резервная» (конечная) (н.ч.с.)</t>
  </si>
  <si>
    <t>1. Ост. «Дружба» (ч.с.)</t>
  </si>
  <si>
    <t>открытый павильон - мет.ст., обшив. По перим. доска, покрытие метал.,основ.-бетон, скамейка - 9,0*0,4*0,5, урна, знак (2)</t>
  </si>
  <si>
    <t>поправить знак</t>
  </si>
  <si>
    <t>открытый павильон - мет.ст., без обшив., покрытие метал.,основ.-бет.плиты, скамейка  3шт.- 2,5*0,4*0,6, урна, знак (1), расписание</t>
  </si>
  <si>
    <t>закрытый павильон (4,0*1,5) - мет.каркас с обшив. метал. покрытие метал, знак (2), платформа - бетон, покр. -разрушено, урна (2), скамейка - 3,8*0,4*0,6</t>
  </si>
  <si>
    <t>восстановление брусч.покрытия, укрепление обшивки, очистка от загрязнений, установить табличку расписания</t>
  </si>
  <si>
    <t>заделка трещин и сколов, укрепление обшивки, очистка от загрязнений, установить табличку расписания</t>
  </si>
  <si>
    <t>открытый павильон - мет.ст., обшив.по перим. Поликарб., покрытие поликарб.,основ.-брусч., скамейка - 6,0*0,4*0,5, урна, знак (2), расписание</t>
  </si>
  <si>
    <t>восстановление обшивки, очистка от загрязнений</t>
  </si>
  <si>
    <t>открытый павильон - мет.ст., без обшив., покрытие поликарб.,основ.-брусч., скамейка - 6,5*0,4*0,6, урна, знак (2), расписание, падус 2шт., перила на одном, перила на остановке</t>
  </si>
  <si>
    <t>18. Ост. «Уссури Центр» (н.ч.с.)</t>
  </si>
  <si>
    <t>открытый павильон - мет.ст., без обшив., покрытие поликарб.,основ.-брусч., скамейка - 3,0*0,4*0,5, урна (2), знак (2), расписание</t>
  </si>
  <si>
    <t>востановить кровлю,заменить урну, ремонт металлоконструкции</t>
  </si>
  <si>
    <t>закрытый павильон (4,0*1,5) - мет.каркас с обшив. поликарб. покрытие поликарб., знак (2), платформа - бетон, урна (2), скамейка - 3,8*0,4*0,5, пандус с перилами</t>
  </si>
  <si>
    <t>укрепление обшивки, очистка от загрязнений, установить табличку расписания</t>
  </si>
  <si>
    <t>закрытый павильон (4,6*1,7) - мет.каркас с обшив. метал. покрытие метал., знак (2), платформа - бетон, покрытие асфальт, урна (2), скамейка - 4,5*0,4*0,6, пандус с перилами 2шт., расписание</t>
  </si>
  <si>
    <t>ремонт пандусов, ступенек, очистка от загрязнений, заменить табличку расписания, урну</t>
  </si>
  <si>
    <t>открытый павильон - мет.ст., без обшив., покрытие метал.,основ.- брусч., скамейки - 2,2*0,45*0,6*4, урна (2), знак (2), пандус (2)</t>
  </si>
  <si>
    <t>установка перил к пандусу, таблички расписания, ремонт основания</t>
  </si>
  <si>
    <t>открытый павильон - мет.ст., без обшив., покрытие поликарб.,основ.- брусч., скамейки - 2,5*0,45*0,5, урна (1), знак (2), расписание</t>
  </si>
  <si>
    <t>ремонт основания, кровли, очистка от загрязнений</t>
  </si>
  <si>
    <t>открытая платформа - ж.бетон.плиты, покр. - бетон, урна (2), знак (2), расписание, скамейка - 2,6*0,4*0,5</t>
  </si>
  <si>
    <t>открытая платформа - ж.бетон.плиты, покр. - асфальт, урна (1), знак (2), скамейка - 2шт. - 1,5*0,4*0,5</t>
  </si>
  <si>
    <t>открытая платформа - ж.бетон.плиты, покр. - асфальт, урна (1), знак (2), расписание</t>
  </si>
  <si>
    <t>открытый павильон (4,05*1,6) - метал.каркас без обшивки, покр.- поликарб. Основание - асфальтобетон. 3нак 5.16 (2), урна</t>
  </si>
  <si>
    <t>устранение трещин, выбоин, очистка от загрязнений, окраска.установка таблички с расписанием.</t>
  </si>
  <si>
    <t>5. Ост. «Фреш 5+» (ч.с.)</t>
  </si>
  <si>
    <t>закрытый павильон (4,0*1,6) - мет.ст.,  обшивка, метал., покрытие поликарб., платформа - бетон, урна (1), знак (2). Скамейка - 1,2*0,4*0,5, пандус с перилами</t>
  </si>
  <si>
    <t>открытый павильон (4,0*1,6) - мет.ст.,  обшивка, 1ст.метал., покрытие поликарб., платформа - бетон, урна (1), знак (2). Скамейка  1,2*0,4*0,5, пандус с перилами</t>
  </si>
  <si>
    <t>закрытый павильон  - мет.ст.(4,0*1,62),  обшивка мет.2ст., покрытие поликарб., платформа - асфальтобетон. урна (1), знак (2). Скамейка - 4,0*0,4*0,6</t>
  </si>
  <si>
    <t>установка таблички расписания,  очистка от загрязнений</t>
  </si>
  <si>
    <t>1. Ост. «Лермонтова» (н.ч.с.)</t>
  </si>
  <si>
    <t>открытая платформа -асфальтобетон,  знак (1)</t>
  </si>
  <si>
    <t>устранение трещин и щелей, установка дорожного знака, таблички расписания, урны</t>
  </si>
  <si>
    <t>закрытый павильон (5,92*1,75) - железобетонные панели t=11,  платформа - асфальтобетон,  скамейка- 4,5*0,4*0,5*2</t>
  </si>
  <si>
    <t>побелка, установка дорожного знака, таблички расписания, урны</t>
  </si>
  <si>
    <t>2. Ост. «Кислородный завод» (ч.с.)</t>
  </si>
  <si>
    <t>3. Ост. « дачи» (н.ч.с.)</t>
  </si>
  <si>
    <t>2. Ост. «дачи» (ч.с.)</t>
  </si>
  <si>
    <t>открытая платформа - ж.бетон.плиты, урна, знак (2)</t>
  </si>
  <si>
    <t>закрытый павильон (4,0*1,6) - метал.каркас с обшив. 1,5ст. поликарб., покр.-поликарб., основ. асфальтобетон 3нак 5.16 (2), скамейка 1,2*0,45*0,5</t>
  </si>
  <si>
    <t>восстановление обшивки, установка урны, таблички расписания</t>
  </si>
  <si>
    <t>открытая платформа -ж.бетон.плита, знак (1)</t>
  </si>
  <si>
    <t>устранение трещин и щелей, ремонт металлоконструкций, установка таблички расписания, урны,знака, скамейки</t>
  </si>
  <si>
    <t>Пос. Тимирязевский, ул. Воложенина (1 ост)</t>
  </si>
  <si>
    <t>1. Ост. "Россельхозакадемия" (ч.с.)</t>
  </si>
  <si>
    <t>закрытый павильон (4,0*1,5) - мет.каркас с обшив. метал. покрытие метал,  платформа - бетон, урна (1), скамейка - 3,8*0,4*0,5</t>
  </si>
  <si>
    <t xml:space="preserve"> установить табличку расписания, знаки</t>
  </si>
  <si>
    <t>3. Ост. «Пив завод» (встроенная)</t>
  </si>
  <si>
    <t>открытый павильон - мет.ст., без обшив., покрытие метал.,основ.-брусчатка, скамейка - 4,5*0,4*0,6, урна, знак (1), расписание</t>
  </si>
  <si>
    <t xml:space="preserve">открытая платформа -ж.бетон.плита,  урна (1), знак (2), </t>
  </si>
  <si>
    <t>открытая платформа -ж.бетон.плита,  урна (1), знак (2), скамейка</t>
  </si>
  <si>
    <t xml:space="preserve">устранение трещин и щелей,  установка таблички с расписанием, </t>
  </si>
  <si>
    <t>устранение трещин и щелей, установка таблички с расписанием, скамейку</t>
  </si>
  <si>
    <t>7. Ост. «кафе Университет» (н.ч.с.)</t>
  </si>
  <si>
    <t>открытая платформа -ж.бетон.плита,  урна (1), знак (1), скамейка</t>
  </si>
  <si>
    <t>открытый павильон (4,07*1,56) - мет.каркас с обшив. метал. покрытие поликарб., платформа - асфальтобетон, урна  знак (2), расписание.  Скамейка (переносная)- 3,1*0,4*0,5</t>
  </si>
  <si>
    <t>открытый павильон (4*1,65) - метал.каркас с обшив. 1ст. поликарб., покр.-поликарб. платформа - асфальтобетон. 3нак 5.16 (2), урна, скамейка 1,3*0,45*0,5</t>
  </si>
  <si>
    <t>2. Ост. «2-ая поликлиника» (нечет.сторона)</t>
  </si>
  <si>
    <t>2. Ост. «2-ая поликлиника» (чет.сторона)</t>
  </si>
  <si>
    <t>открытый павильон (4*1,62) - метал.каркас с обшив. 2ст. поликарб., покр.-поликарб. платформа - асфальтобетон. 3нак 5.16 (2), урна, скамейка 1,3*0,45*0,5- 3шт.</t>
  </si>
  <si>
    <t>1. Ост. «Некрасова» (ч.с.) (м-н "Ангелина")</t>
  </si>
  <si>
    <t>открытая платформа -ж.бетон.плита,  урна (1), знак (2), расписание</t>
  </si>
  <si>
    <t>устранение трещин и щелей, ремонт металлоконструкций, установка скамейки</t>
  </si>
  <si>
    <t>2. Ост. «Некрасова» (н.ч.с.) (КВД)</t>
  </si>
  <si>
    <t>устранение трещин и щелей, ремонт металлоконструкций, установка скамейки, таблички расписания</t>
  </si>
  <si>
    <t>3. Ост. "УГПИ" (н.ч.с.)</t>
  </si>
  <si>
    <t xml:space="preserve">открытый павильон - мет.ст., без обшив., покрытие поликарб.,основ.- брусч., скамейки - 2,5*0,45*0,64, урна (2), знак (1), </t>
  </si>
  <si>
    <t xml:space="preserve">открытый павильон - мет.ст., без обшив., покрытие метал.,основ.- брусч., скамейки - 2,2*0,45*0,6*4, урна (2), знак (2), </t>
  </si>
  <si>
    <t>установка таблички расписания, ремонт основания</t>
  </si>
  <si>
    <t>установка перил к пандусу, таблички расписания,  очистка от загрязнений</t>
  </si>
  <si>
    <t>закрытый павильон (5,0*2,05) - мет.ст.,  обшивка.2ст., покрытие поликарб., платформа - асфальтобетон. урна (1), знак (2). Скамейка - 4,0*0,4*0,6, пандус</t>
  </si>
  <si>
    <t>закрытый павильон (5,0*2,01) - мет.ст.,  обшивка мет.2ст., покрытие поликарб., платформа - асфальтобетон. урна (1), знак (2). Скамейка - 4,0*0,4*0,6</t>
  </si>
  <si>
    <t>2. Ост. «Гор театр» (ч.с.)</t>
  </si>
  <si>
    <t>закрытый павильон(4,0*1,6) - мет.ст.,  обшит.1стполикарб., покрытие поликарб., основание-асфальт, урна (1), скамейка - 4,0*0,4*0,6, знак (2)</t>
  </si>
  <si>
    <t>очистка от загрязнений, окраска.  Установка таблички расписания</t>
  </si>
  <si>
    <t>закрытый павильон(4,0*1,64) - мет.ст.,  обшит.1ст поликарб., покрытие поликарб., основание-брусч., урна (2), скамейка - 4,0*0,4*0,6, знак (2)</t>
  </si>
  <si>
    <t>открытая платформа -ж.бетон.плита,  скамейки</t>
  </si>
  <si>
    <t>открытая платформа -ж.бетон.плита,  урна (1), знак (2),  скамейка</t>
  </si>
  <si>
    <t>открытый павильон - мет.ст., без обшив., покрытие метал.,пол - нет, скамейка - 2,5*0,4*0,6, урна, знак (2), расписание</t>
  </si>
  <si>
    <t>устройство основания, очистка от загрязнений, окраска</t>
  </si>
  <si>
    <t>улица Слободская (3 ост)</t>
  </si>
  <si>
    <t>составил</t>
  </si>
  <si>
    <t>инженер дорожного отдела МКУ "СЕЗЗ"</t>
  </si>
  <si>
    <t>О.В. Пивоварова</t>
  </si>
  <si>
    <t>Улица Агеева (2 ост)</t>
  </si>
  <si>
    <t>Улица Пинегина (2 ост)</t>
  </si>
  <si>
    <t>Улица Советская (4 ост)</t>
  </si>
  <si>
    <t>Улица Урицкого (4 ост)</t>
  </si>
  <si>
    <t>замена знака 10.03.15г.</t>
  </si>
  <si>
    <t>замена знака 17.03.15г.</t>
  </si>
  <si>
    <t>урны кол-во</t>
  </si>
  <si>
    <t>знаки кол-во</t>
  </si>
  <si>
    <t>скамейки</t>
  </si>
  <si>
    <r>
      <t>Сведения о состоянии автобусных остановок, расположенных на автомобильных дорогах в г. Уссурийске,</t>
    </r>
    <r>
      <rPr>
        <b/>
        <i/>
        <sz val="14"/>
        <rFont val="Arial Cyr"/>
        <family val="0"/>
      </rPr>
      <t xml:space="preserve"> не переданных</t>
    </r>
    <r>
      <rPr>
        <sz val="14"/>
        <rFont val="Arial Cyr"/>
        <family val="0"/>
      </rPr>
      <t xml:space="preserve"> в оперативное управление в МКП "СЕЗЗ" , расположенные на Федеральной трассе</t>
    </r>
  </si>
  <si>
    <t>дороги местного значения, но не переданные в оперативное управление</t>
  </si>
  <si>
    <t>дороги федерального значения</t>
  </si>
  <si>
    <t>дороги краевого значения</t>
  </si>
  <si>
    <t>О. В. Пивоварова</t>
  </si>
  <si>
    <t>дороги местного значения, переданные в оперативное управление</t>
  </si>
  <si>
    <t>закрытый павильон (4*2,2) - мет.ст., с обшив.2 ст. метал., покрытие метал., платформа -бетон, покрытие - асфальт, урна 1шт., расписание,  скамейка - 4,0*0,4*0,6, знак (2)</t>
  </si>
  <si>
    <t>дата ремонта</t>
  </si>
  <si>
    <t>поликарбонат м2</t>
  </si>
  <si>
    <t>2018г.</t>
  </si>
  <si>
    <t>хорошее 2018г.</t>
  </si>
  <si>
    <t>устройство новой остановки 2018г.</t>
  </si>
  <si>
    <t>Улица Губрия (1 ост)</t>
  </si>
  <si>
    <t xml:space="preserve">закрытый павильон(4,0*1,6) - мет.ст.,  без обшивки, покрытие металл., основание-асфальт, урна (1), скамейка - 4,0*0,4*0,6, </t>
  </si>
  <si>
    <t>ремонт металлических конструкций, устранение выкрашивания основания, устройство обшивки, установка таблички расписания</t>
  </si>
  <si>
    <t>платформа 3*10; закрытый павильон - мет.ст.d=12, заполн. 2 ст проф.железо, окрас., покрытие поликарбонат, пол бетотон, знак (2),   скамейки - 4,51*0,5*0,6</t>
  </si>
  <si>
    <t>хорошее 2016г.</t>
  </si>
  <si>
    <t>1. Ост. «Топоркова» (ч.с.) ориент.№ 112</t>
  </si>
  <si>
    <t>2. Ост. «Топоркова» (н.ч.с.) ориент. № 2 по ул. Пинегина</t>
  </si>
  <si>
    <t>3. Ост. «Пив завод» (встроенная)нечет.ст.</t>
  </si>
  <si>
    <t>3. Ост. «Пив завод» четн.ст. ориент. № 120</t>
  </si>
  <si>
    <t>платформа 3,25*13; закрытый павильон - 4*2, заполн. 2 ст проф.железо, окрас., покрытие поликарбонат, пол бетотон, знак (2),   скамейки - 4,0*0,5*0,6</t>
  </si>
  <si>
    <t>хорошее 2016</t>
  </si>
  <si>
    <t>1. Ост. Водоканал (м-н «Лукост») (ч.с.)</t>
  </si>
  <si>
    <t xml:space="preserve">2. Ост. Водоканал («Шиномонтаж») (н.ч.с.) </t>
  </si>
  <si>
    <t>1. Ост. «пос. Черняховский» (н.ч.с.)</t>
  </si>
  <si>
    <t>1. Ост. «Сады» 1 (по требованию) (н.ч.с.)</t>
  </si>
  <si>
    <t>2. Ост. «Сады» 2 (по требованию) (ч.с.)</t>
  </si>
  <si>
    <t>3. Ост. «Сады» 2 (по требованию) (н.ч.с.)</t>
  </si>
  <si>
    <t>4. Ост. «Сады» 3 (по требованию) (ч.с.)</t>
  </si>
  <si>
    <t>5. Ост. «Сады - конечная» (н.ч.с.)</t>
  </si>
  <si>
    <t>Дорога № 1 (на "Пивзаводские сады") ул. Топоркова (часть) 5 остановок</t>
  </si>
  <si>
    <t>1. Ост. «Никольск» (н.ч.с.)</t>
  </si>
  <si>
    <t>2. Ост. «Завод Родина» (н.ч.с.)</t>
  </si>
  <si>
    <t>3. Ост. «Поворот на с.Баневурово» (ч.с.)</t>
  </si>
  <si>
    <t>1. Ост. «Общественная» (ч.с.) ориент. № 124</t>
  </si>
  <si>
    <t>2. Ост. «Общественная» (н.ч.с.)  ориент. № 105</t>
  </si>
  <si>
    <t>3. Ост. «Анучинская» (ч.с.) у дома № 148</t>
  </si>
  <si>
    <t>4. Ост. «Анучинская» (н.ч.с.) у дома № 129</t>
  </si>
  <si>
    <t>1. Ост. «Поворот» (ч.с.) у дома № 54</t>
  </si>
  <si>
    <t>2. Ост. «Вострецова» (н.ч.с.) у дома № 35</t>
  </si>
  <si>
    <t>1. Ост. «Вострецова» (ч.с.) у дома №  42</t>
  </si>
  <si>
    <t>2. Ост. «Вострецова» (н.ч.с.) у дома № 31</t>
  </si>
  <si>
    <t>4. Ост. «Почта» (н.ч.с.) у дома № 45</t>
  </si>
  <si>
    <t>5. Ост. «Пинегина» (ч.с.) у дома № 96</t>
  </si>
  <si>
    <t>6. Ост. «Пинегина» (н.ч.с.) у дома № 91</t>
  </si>
  <si>
    <t>1. Ост. «Стаханова» у дома № 34</t>
  </si>
  <si>
    <t>1. Ост. «ЖД вокзал» (ч.с.) у № 2</t>
  </si>
  <si>
    <t>2. Ост. «Комсомольская» (ч.с.) у здания ГСК № 16</t>
  </si>
  <si>
    <t>3. Ост. «Комсомольская» (н.ч.с.) у дома № 35</t>
  </si>
  <si>
    <t>4. Ост. «Сан тех монтаж» (ч.с.) напротив дома № 73</t>
  </si>
  <si>
    <t>5. Ост. «Сан тех монтаж» (н.ч.с.) у дома № 75</t>
  </si>
  <si>
    <t>6. Ост. «АК 1273» (ч.с.) напротив дома № 111</t>
  </si>
  <si>
    <t xml:space="preserve">7. Ост. «АК 1273» (н.ч.с.) у территории а/к </t>
  </si>
  <si>
    <t>8. Ост. «Переулок» (ч.с.) напротив № 123</t>
  </si>
  <si>
    <t>9. Ост. «Переулок» (н.ч.с.) у дома № 125</t>
  </si>
  <si>
    <t>10. Ост. «МРЭО ГАИ» (конечная) у № 155</t>
  </si>
  <si>
    <t>оборудование новой остановки 2018г.</t>
  </si>
  <si>
    <t>платформа 2,5*13,2; закрытый павильон - мет.ст.d=12, заполн. 2 ст проф.железо, окрас., покрытие поликарбонат, пол бетотон, знак (2),   скамейки - 4,51*0,5*0,6</t>
  </si>
  <si>
    <t>ремонт 2018г.</t>
  </si>
  <si>
    <t>открытая платформа -ж.бетон.плита,  урна (1), знак (2), , скамейка</t>
  </si>
  <si>
    <t>список автобусных остановок, расположенных на автомобильных дорогах в г. Уссурийске, переданных в оперативное управление в МКУ "СЕЗЗ" на 2018г.</t>
  </si>
  <si>
    <t>9. Ост. «Школа» (н.ч.с.)</t>
  </si>
  <si>
    <t>Улица Комарова (2 ост)</t>
  </si>
  <si>
    <t>Улица Некрасова (2 ост)</t>
  </si>
  <si>
    <t>с. Воздвиженка, улица Ленина ( 1 шт.)</t>
  </si>
  <si>
    <t>с. Воздвиженка, улица Привокзальная ( 1 шт.)</t>
  </si>
  <si>
    <t>с. Корфовка, улица Молодежная ( 1 шт.)</t>
  </si>
  <si>
    <t>с. Яконовка, улица Центральная ( 1 шт.)</t>
  </si>
  <si>
    <t>с. Горнотаежное, улица Самойлова ( 1 шт.)</t>
  </si>
  <si>
    <t>с. Раковка, улица Советская ( 1 шт.)</t>
  </si>
  <si>
    <t>пос. Партизан, улица Партизанская ( 1 шт.)</t>
  </si>
  <si>
    <t>не оборудована  - плита разрушена)</t>
  </si>
  <si>
    <t>Улица Шевченко (3 ост)</t>
  </si>
  <si>
    <t>Улица Тургенева (6 ост)</t>
  </si>
  <si>
    <t>с. Новоникольск, улица Советская (6 шт.)</t>
  </si>
  <si>
    <t>2. Ост. «Завод Родина» (ч.с.)</t>
  </si>
  <si>
    <t>открытый павильон 6 м2,  на бет.платформе -мет. Обшит с 2-х сторон,  урна (1), знак (2), пандус</t>
  </si>
  <si>
    <t>федер.трасса</t>
  </si>
  <si>
    <t>ост. "ЛРЗ" (нечет.ст.)</t>
  </si>
  <si>
    <t>обслуживает ОАО "УДЭП"</t>
  </si>
  <si>
    <t>площадь м2</t>
  </si>
  <si>
    <t>4. Ост. «Школа № 28"» (ч.с.)</t>
  </si>
  <si>
    <t>торг. киоск , павильон</t>
  </si>
  <si>
    <t>торг.киоск, павильон</t>
  </si>
  <si>
    <t>10. Ост. «Кафе» «Пятиминутка» (по требованию)неч.ст.</t>
  </si>
  <si>
    <t>11. Ост. «Кафе» «Пятиминутка» (по требованию) чет.ст.</t>
  </si>
  <si>
    <t>14. Ост. «Сады» 1 (по требованию) неч.ст.</t>
  </si>
  <si>
    <t>15. Ост. «Сады» 1 (по требованию) чет.ст.</t>
  </si>
  <si>
    <t>16. Ост. «Сады» 2 (по требованию) неч.ст.</t>
  </si>
  <si>
    <t>18. Ост. «г-н Барановский» (чет.ст.)</t>
  </si>
  <si>
    <t>улица Губрия (1 ост.)</t>
  </si>
  <si>
    <t>Улица Дубовая роща (1 ост)</t>
  </si>
  <si>
    <t xml:space="preserve">1. Ост. «Никольск» </t>
  </si>
  <si>
    <t xml:space="preserve">2. Ост. «Завод Родина» неч.ст. </t>
  </si>
  <si>
    <t>3. Ост. «Завод Родина» (ч.с.)</t>
  </si>
  <si>
    <t>4. Ост. «поворот на с. Баневурово» (н.ч.с.)</t>
  </si>
  <si>
    <t>1. Ост. ул. Комарова – Ленинградская (кольцо)  неч.ст.</t>
  </si>
  <si>
    <t>1. Ост. ул. Комарова – Ленинградская (кольцо)  чет.ст.</t>
  </si>
  <si>
    <t>2. Ост. «Поликлиника» печ.ст.</t>
  </si>
  <si>
    <t>МКУ "СЕЗЗ"</t>
  </si>
  <si>
    <t>2. Ост. «Поликлиника» чет.ст.</t>
  </si>
  <si>
    <t>5. Ост. «Фрэш 5+» (ч.с.)</t>
  </si>
  <si>
    <t>9. Ост. «Школа» (неч.с.)</t>
  </si>
  <si>
    <t>1. Ост. «Лермонтова» неч.ст.</t>
  </si>
  <si>
    <t>улица Мишенная (1 ост)</t>
  </si>
  <si>
    <t>пер. Мостовой (1 ост)</t>
  </si>
  <si>
    <t>2019г.</t>
  </si>
  <si>
    <t>торг. киоск ,павильон</t>
  </si>
  <si>
    <t>ОАО "УДЭП"</t>
  </si>
  <si>
    <t>1. Ост. "Дальторгсервис" неч.ст.</t>
  </si>
  <si>
    <t>Улица Новоникольское шоссе (15 ост)</t>
  </si>
  <si>
    <t>дорога краевого значения</t>
  </si>
  <si>
    <t>3. Ост. «Пинегина» чет.ст.</t>
  </si>
  <si>
    <t>газ.киоск, павильон</t>
  </si>
  <si>
    <t>3. Ост. «Общественная»  неч.ст.</t>
  </si>
  <si>
    <t>РЖД</t>
  </si>
  <si>
    <t>2016г.</t>
  </si>
  <si>
    <t>2017г.</t>
  </si>
  <si>
    <t>3. Ост. «Пив завод» встроенная</t>
  </si>
  <si>
    <t>4. Ост. «Пив завод» чет. Ст.</t>
  </si>
  <si>
    <t>5. Ост. «Сады» 1 (по требованию) (н.ч.с.)</t>
  </si>
  <si>
    <t>6. Ост. «Сады» 2 (по требованию) (ч.с.)</t>
  </si>
  <si>
    <t>7. Ост. «Сады» 2 (по требованию) (н.ч.с.)</t>
  </si>
  <si>
    <t>8. Ост. «Сады» 3 (по требованию) (ч.с.)</t>
  </si>
  <si>
    <t>9. Ост. «Сады - конечная» (н.ч.с.)</t>
  </si>
  <si>
    <t>Улица Топоркова (9 ост)</t>
  </si>
  <si>
    <t>Улица Сергея Ушакова (4 ост)</t>
  </si>
  <si>
    <t>Улица Александра Францева (2 ост)</t>
  </si>
  <si>
    <t>5. Ост. «Педагогический институт»  физ.мат</t>
  </si>
  <si>
    <t>2. Ост. «Техноцентр» (н.ч.с.)</t>
  </si>
  <si>
    <t>9. Ост. "Обшежитие" ч.ст.</t>
  </si>
  <si>
    <t>10. Ост. Обшежитие" неч.ст.</t>
  </si>
  <si>
    <t>11. Ост. « дачи» (н.ч.с.)</t>
  </si>
  <si>
    <t>12. Ост. «дачи» (ч.с.)</t>
  </si>
  <si>
    <t>13. Ост. «Кислородный завод» (в стор. кож. комбината)</t>
  </si>
  <si>
    <t>14. Ост. «Кислородный завод» (ч.с.)</t>
  </si>
  <si>
    <t>1. Ост. «Столовая» (ч.с.)</t>
  </si>
  <si>
    <t>2. Ост. «Столовая» (н.ч.с.)</t>
  </si>
  <si>
    <t>3. Ост. «Школа» (ч.с.)</t>
  </si>
  <si>
    <t>4. Ост. «Школа» (н.ч.с.)</t>
  </si>
  <si>
    <t>5. Ост. «Магазин» (ч.с.)</t>
  </si>
  <si>
    <t>6. Ост. «Магазин» (н.ч.с.)</t>
  </si>
  <si>
    <t>7. Ост. «ТОК» (ч.с.)</t>
  </si>
  <si>
    <t>8. Ост. «ТОК» (н.ч.с.)</t>
  </si>
  <si>
    <t>9. Ост. «Новоникольск» (конечная)</t>
  </si>
  <si>
    <t>с. Новоникольск ул. Советская (9 ост)</t>
  </si>
  <si>
    <t>с.Корфовка (1 ост)</t>
  </si>
  <si>
    <t>1. Ул. Молодежная</t>
  </si>
  <si>
    <t>с. Яконовка (1 ост)</t>
  </si>
  <si>
    <t>пер. Тихий (1ост.)</t>
  </si>
  <si>
    <t>1. Ост. "гарнизон Барановский" конечная</t>
  </si>
  <si>
    <t>с. Горнотаежное (1 ост)</t>
  </si>
  <si>
    <t>1. ул. Самойлова</t>
  </si>
  <si>
    <t>1. ул. Воложенина</t>
  </si>
  <si>
    <t>23. Ост. «6-й километр» чет.ст.</t>
  </si>
  <si>
    <t>23. Ост. «6-й километр» нечет.ст.</t>
  </si>
  <si>
    <t>дорога федерального значения   ОАО "УДЭП"</t>
  </si>
  <si>
    <t>1. Ул.Раковское шоссе чет.ст.</t>
  </si>
  <si>
    <t>с. Глуховка (2 ост)</t>
  </si>
  <si>
    <t>1. Ул.Раковское шоссе нечет.ст.</t>
  </si>
  <si>
    <t>Дорога от развилки с. Новоникольск до с. Алексей-Никольское</t>
  </si>
  <si>
    <t>1. ост. "Развилка"</t>
  </si>
  <si>
    <t>2. Ленинская "Магазин Добрый" чет.ст</t>
  </si>
  <si>
    <t>3. Ленинская "Магазин Добрый" нечет.ст</t>
  </si>
  <si>
    <t>4. Ленинская "Магазин Белый" чет.ст</t>
  </si>
  <si>
    <t>5. Ленинская "Магазин Белый" нечет.ст</t>
  </si>
  <si>
    <t>6. Ленинская "Клуб" чет.ст</t>
  </si>
  <si>
    <t>7. Ленинская "Клуб" нечет.ст</t>
  </si>
  <si>
    <t>8. Ленинская "Старая почта" чет.ст</t>
  </si>
  <si>
    <t>9. Ленинская "Старая почта" нечет.ст</t>
  </si>
  <si>
    <t>10. Осенняя "Магазин Добрый 2" чет.ст</t>
  </si>
  <si>
    <t>11. Осенняя "Магазин Добрый 2" нечет.ст</t>
  </si>
  <si>
    <t>12. ул. Чкалова "Шанхай" чет.ст.</t>
  </si>
  <si>
    <t>13. ул. Чкалова "Шанхай" нечет.ст.</t>
  </si>
  <si>
    <t>1. Кольцевая "Бадыгина" левая ст.</t>
  </si>
  <si>
    <t>2. Кольцевая "Бадыгина" правая ст.</t>
  </si>
  <si>
    <t>3. Ленина "гарнизон Воздвиженский</t>
  </si>
  <si>
    <t>дорога на городок Воздвиженка (3 ост)</t>
  </si>
  <si>
    <t>2. ост. Борисовский мост</t>
  </si>
  <si>
    <t>3. ост. Борисовский мост</t>
  </si>
  <si>
    <t>4. ДЭУ - 196</t>
  </si>
  <si>
    <t>5. ДЭУ - 196</t>
  </si>
  <si>
    <t>6. ост. Поворот на Борисовку</t>
  </si>
  <si>
    <t>7. ост. Поворот на Улитовку</t>
  </si>
  <si>
    <t>8. ост. Поворот на Пуциловку</t>
  </si>
  <si>
    <t>2. Ул. Советская</t>
  </si>
  <si>
    <t>с. Воздвиженка (13 ост)</t>
  </si>
  <si>
    <t>с. Утёсное (1 ост.)</t>
  </si>
  <si>
    <t>1. ул. Ефимова</t>
  </si>
  <si>
    <t>с. Красный Яр (1 ост.)</t>
  </si>
  <si>
    <t>1. ул. Советская</t>
  </si>
  <si>
    <t>1. 50 Лет Октября "колодец"</t>
  </si>
  <si>
    <t>2. 50 Лет Октября "колодец"</t>
  </si>
  <si>
    <t>3. Строительная "Новая"</t>
  </si>
  <si>
    <t>4. Советская "Поворот на Корсаковку"</t>
  </si>
  <si>
    <t>5. Советская "Поворот на Корсаковку"</t>
  </si>
  <si>
    <t xml:space="preserve"> с. Борисовка (5 ост.) </t>
  </si>
  <si>
    <t>1. Комсомольская "Корсаковка</t>
  </si>
  <si>
    <t>2. Комсомольская "Корсаковка</t>
  </si>
  <si>
    <t>3. Комсомольская площадь</t>
  </si>
  <si>
    <t xml:space="preserve"> с. Кроуновка (1 ост.) </t>
  </si>
  <si>
    <t>Дорога на с. Баневурово - Каменушку</t>
  </si>
  <si>
    <t>1. пос. Радужный</t>
  </si>
  <si>
    <t>2. пос. Радужный</t>
  </si>
  <si>
    <t xml:space="preserve">1. Уссурийское шоссе </t>
  </si>
  <si>
    <t>с. Баневурово (2 ост.)</t>
  </si>
  <si>
    <t xml:space="preserve">2. Уссурийское шоссе </t>
  </si>
  <si>
    <t xml:space="preserve">с. Долины (1 ост.) - павильон </t>
  </si>
  <si>
    <t xml:space="preserve"> с. Дубовый ключ (1 ост.) - павильон</t>
  </si>
  <si>
    <t xml:space="preserve"> с. Заречное (1 ост.) -  павильон</t>
  </si>
  <si>
    <t xml:space="preserve"> с. Партизан (1 ост.) - павильон </t>
  </si>
  <si>
    <t xml:space="preserve"> с. Боголюбовка (1 ост.) - павильон</t>
  </si>
  <si>
    <t>с. Каймановка (1 ост.) - павильон</t>
  </si>
  <si>
    <t xml:space="preserve"> с. Каменушка (1 ост.) - торг. киоск "Нива хлеб" </t>
  </si>
  <si>
    <t>Улица Плеханова - Невского(4 ост)</t>
  </si>
  <si>
    <t>1. Ост. «Плеханова» (ч.с.)</t>
  </si>
  <si>
    <t>2. Ост. «Плеханова» (н.ч.с.)</t>
  </si>
  <si>
    <t>3. Ост. «Невского» (ч.с.)</t>
  </si>
  <si>
    <t>4. Ост. «Невского» (н.ч.с.)</t>
  </si>
  <si>
    <t>3. Ост. «Урожайная» (ч.с.)</t>
  </si>
  <si>
    <t>4. Ост. «Урожайная» (н.ч.с.)</t>
  </si>
  <si>
    <t>5. Ост. Уссурагропромтранс</t>
  </si>
  <si>
    <t>6. Ост. Уссурагропромтранс</t>
  </si>
  <si>
    <t>Улица Сельскохозяйственная (6 ост)</t>
  </si>
  <si>
    <t>Улица Профсоюзная (1 ост)</t>
  </si>
  <si>
    <t>1. Ост. «с. Загородное»</t>
  </si>
  <si>
    <t xml:space="preserve">с. Корсаковка (3 ост.)    </t>
  </si>
  <si>
    <t>В оперативном управлении - 12 остановок</t>
  </si>
  <si>
    <t xml:space="preserve">дорога федерального значения   </t>
  </si>
  <si>
    <t xml:space="preserve">2. Михайловское шоссе (неч.с.) </t>
  </si>
  <si>
    <t>3. п. Тимирязева (ч.с.)</t>
  </si>
  <si>
    <t>4. п. Тимирязева (н.ч.с.)</t>
  </si>
  <si>
    <t>5. Выставка (ч.с.)</t>
  </si>
  <si>
    <t>6. Выставка (н.ч.с.)</t>
  </si>
  <si>
    <t>7. Сельскохозяйственная академия неч.ст.</t>
  </si>
  <si>
    <t>8. Сельскохозяйственная академия ч.ст.</t>
  </si>
  <si>
    <t>9. Сады (ч.с.)</t>
  </si>
  <si>
    <t>10. Сады (н.ч.с.)</t>
  </si>
  <si>
    <t>Михайловское шоссе (10 ост)</t>
  </si>
  <si>
    <t>На дорогах федерального значения - 28 остановок</t>
  </si>
  <si>
    <t>На дорогах краевого значения - 96 остановок</t>
  </si>
  <si>
    <t>В обслуживании ОАО "УДЭП" - 13 остановок</t>
  </si>
  <si>
    <t>На территории РЖД - 1 остановка</t>
  </si>
  <si>
    <t>ИТОГО: 349 остановок</t>
  </si>
  <si>
    <t>На дорогах местного значения - 211 остановок (в т.ч. 12 в оперативном управлении)</t>
  </si>
  <si>
    <t>составил инженер дорожного отдела</t>
  </si>
  <si>
    <t>Перечень автобусных остановок на дорогах федерального, краевого и местного значения на территории УГО 2019г.</t>
  </si>
  <si>
    <t>открытый павильон 5,85 м2,  на бет.платформе -мет. Обшит с 2-х сторон,  урна (1), знак (2), пандус</t>
  </si>
  <si>
    <t>заездной карман</t>
  </si>
  <si>
    <t>павильон 6 м2 на бетонном основании, пандус, 2 знака, урна, разметка</t>
  </si>
  <si>
    <t>_</t>
  </si>
  <si>
    <t>открытый павильон 5,7 м2,  на бет.платформе -мет. Обшит с 2-х сторон,  урна (1), знак (2), пандус, разметка</t>
  </si>
  <si>
    <t>павильон 6 м2 на бетон.основании,  урна (1), знак (2),пандус</t>
  </si>
  <si>
    <t>открытый павильон 6,0 м2,  на бет.платформе -мет. Обшит с 2-х сторон,  урна (1), знак (2), пандус, разметка</t>
  </si>
  <si>
    <t>открытый павильон 6,0 м2,  на бет.платформе -мет. Обшит с 2-х сторон,  урна (1), знак (2), пандус</t>
  </si>
  <si>
    <t>пер. Тихий (1 ост)</t>
  </si>
  <si>
    <t xml:space="preserve">17. Ост. «г-н Барановский» </t>
  </si>
  <si>
    <t>закрытый павильон 6,0 м2 - мет.каркас с обшив. метал. покрытие метал, платформа - бетон, урна, знак (1),скамейка - 3,8*0,4*0,4</t>
  </si>
  <si>
    <t>9.  Садовая</t>
  </si>
  <si>
    <t>платформа 2,5*13,2; закрытый павильон 5,85 м2- мет.ст.d=12, заполн. 2 ст проф.железо, окрас., покрытие поликарбонат, пол бетотон, знак (2),   скамейки - 4,51*0,5*0,6</t>
  </si>
  <si>
    <t>платформа 6 м2; закрытый павильон - мет.ст.d=12, заполн. 2 ст проф.железо, окрас., покрытие поликарбонат, пол бетотон, знак (2),   скамейки - 3,8*0,5*0,6</t>
  </si>
  <si>
    <t>платформа 6 м2; закрытый павильон - мет.ст.d=12, заполн. 2 ст проф.железо, окрас., покрытие поликарбонат, пол бетотон, знак (2),   скамейки - 4,51*0,5*0,6</t>
  </si>
  <si>
    <t>платформа 6м2; закрытый павильон - мет.ст.d=12, заполн. 2 ст проф.железо, окрас., покрытие поликарбонат, пол бетотон, знак (2),   скамейки - 4,51*0,5*0,6</t>
  </si>
  <si>
    <t>3. Ост. «школа № 27» (ч.с.)</t>
  </si>
  <si>
    <t>открытый павильон 13,2м2 - мет.ст., без обшив., покрытие метал.,основ.-асфальт, скамейка - 6,5*0,4*0,6, урна, знак (2), расписание</t>
  </si>
  <si>
    <t>1. Ост. «Вегаа» (ч.с.) (м-н "Ангелина")</t>
  </si>
  <si>
    <t>2. Ост. «Вега» (н.ч.с.) (КВД)</t>
  </si>
  <si>
    <t>2. Ост. «Рабочаяа» (н.ч.с.)</t>
  </si>
  <si>
    <t>павильон 6м2; открытая платформа -ж.бетон.плита,  покрытие-асфальт, урна (2), знак (2), скамейки, пандус с перилами</t>
  </si>
  <si>
    <t>открытый павильон 7,5*2,5 =18,8м2- мет.ст., без обшив., покрытие метал.,основ.-бет.плиты, скамейка  3шт.- 2,5*0,4*0,6, урна, знак (1), расписание</t>
  </si>
  <si>
    <t>открытый павильон 4,5*1,85 = 8,3м2- мет.ст., обшит метал. с 2-х ст., покрытие метал.,основ.-бет.плиты, скамейка - 4,5*0,4*0,5, урна</t>
  </si>
  <si>
    <t>открытый павильон(4,0*1,6)= 6,4м2 - мет.ст.,  обшит.1ст метал., покрытие метал., основание-асфальт, урна (1), скамейка - 4,0*0,4*0,6, знак (2), расписание, пандус с перилами</t>
  </si>
  <si>
    <t>закрытый павильон(4,0*1,6)= 6,4м2 - мет.ст.,  обшит.1стполикарб., покрытие поликарб., основание-асфальт, урна (1), скамейка - 4,0*0,4*0,6, знак (2)</t>
  </si>
  <si>
    <t>3. Ост. «Пушкина» (неч.с.)</t>
  </si>
  <si>
    <t>6. Ост. «Школа» (ч.с.)</t>
  </si>
  <si>
    <t>открытый павильон(6,8*3,5)=23,8м2 - мет.ст.,  обшит.1ст метал., покрытие поликарб., основание-брусчатка, урна (1), скамейка - 4,8*0,4*0,5, знак (2), расписание, пандус с перилами</t>
  </si>
  <si>
    <t>открытый павильон(6,7*2,05)=13,7м2 - мет.ст., обшит метал., покрытие металл., основание-бетон, урна, расписание, скамейка - 3,0*0,4*0,5</t>
  </si>
  <si>
    <t>не оборудована, знаки</t>
  </si>
  <si>
    <t>открытый павильон-кирпич l=6,1, t=25 , 15,3 м2; перекр.-ж.б.плита, пол-бетон, скамейка-7,5*0,4*0,5, знак, урна. Расписание</t>
  </si>
  <si>
    <t>открытый павильон (6,6*2)= 13,2м2 - мет.ст., обшит метал. с 2-х ст., покрытие метал.,основ.-бет.плиты, скамейка - 4,5*0,4*0,5, урна, знак (2)</t>
  </si>
  <si>
    <t>бетон.плита, покр.брус.,павильон 3*1,8=5,4м2- мет.каркас, покрытие-полик,скамейка-6,1*0,4*0,43</t>
  </si>
  <si>
    <t>закрытый павильон (4,6*2,9)=13,3м2 - мет.ст.(10*10), обшит метал., покрытие-метал. платформа -бетон, покрытие брусчатка, урна 1шт. Знак (1),  скамейки - 6,0*0,4*0,5</t>
  </si>
  <si>
    <t>закрытый павильон (12,2*3,6) =43,9м2 - мет.ст.(10*10), обшит метал., покрытие  поликарб, платформа -бетон, покрытие брусчатка, пандус. Знак (2), расписание, скамейки - 4,0*0,4*0,5</t>
  </si>
  <si>
    <t>закрытый павильон (4,5*1,67)=7,5м2 - мет.ст.(d-8), обшит метал., покрытие металл. платформа - асфальтобетон, урна (2), знак (2), расписание, скамейки - 3,4*0,4*0,5</t>
  </si>
  <si>
    <t>открытый павильон(3,15*2,9) =9,1м2 - мет.ст. (10*10), без обшивки, покрытие металл., платформа - брусчатка, урна, скамейка- 3,1*0,4*0,5</t>
  </si>
  <si>
    <t>открытый павильон (3,15*2,9) =9,1м2 - мет.ст.(5*5,2*2), без обшивки, покрытие поликарбон., платформа - асфальтобетон, урна, знак.  Скамейка (переносная)- 3,1*0,4*0,5</t>
  </si>
  <si>
    <t>открытый павильон 12м2 - мет.ст., 1ст.обшив., покрытие полик..,основ.-бетон, брусчатка скамейка - 6,5*0,4*0,6, урна, знак (2), расписание</t>
  </si>
  <si>
    <t xml:space="preserve"> платформа, павильон</t>
  </si>
  <si>
    <t>площадь</t>
  </si>
  <si>
    <t>площадь посад. площадки м2</t>
  </si>
  <si>
    <t>открытый павильон 6,0 м2,  на бет.платформе -мет., обшит с 2-х сторон,  урна (1), знак (2), пандус 2,25 м2, разметка</t>
  </si>
  <si>
    <t>открытый павильон 6,0 м2,  на бет.платформе 7,65м2 -мет., обшит с 2-х сторон,  урна (1), знак (2), пандус 5,2 м2, разметка</t>
  </si>
  <si>
    <t>открытый павильон 6,0 м2,  на бет.платформе 7,65м2 -мет., обшит с 2-х сторон,  урна (1), знак (2), пандус 2,6 м2, разметка</t>
  </si>
  <si>
    <t>открытый павильон 6,0 м2,  на бет.платформе 7,65м2 -мет., обшит с 2-х сторон,  урна (1), знак (2), пандус 9,0 м2, разметка</t>
  </si>
  <si>
    <t>открытый павильон 6,0 м2,  на бет.платформе -мет., обшит с 2-х сторон,  урна (1), знак (2), пандус 3,0 м2, разметка</t>
  </si>
  <si>
    <t>открытый павильон 6,0 м2,  на бет.платформе -мет., обшит с 2-х сторон,  урна (1), знак (2), пандус 2,0 м2, разметка</t>
  </si>
  <si>
    <t>открытый павильон 6,0м2- мет.ст., без обшив. покрытие метал, пол - бетон  скамейка - 4,0*0,4*0,5, расписание, урна, знак (2)</t>
  </si>
  <si>
    <t>открытый павильон 6,0м2- метал.каркас с обшив. 1ст. металл, покр.- поликарб. 3нак 5.16 (2)</t>
  </si>
  <si>
    <t>закрытый павильон (6,5м2) - мет.ст., обшит  поликарб, покрытие  поликарб, скамейка - 3,0*0,4*0,5, основание- платформа -бетон, покрытие - брусчатка, урна (1), знак (2), пандус</t>
  </si>
  <si>
    <t>3. Ост. «Почта» (ч.с.) у дома № 64</t>
  </si>
  <si>
    <t>4. Ост. «Почта» (н.ч.с.) у дома № 47</t>
  </si>
  <si>
    <t xml:space="preserve"> скамейки</t>
  </si>
  <si>
    <t>не оборудована, плита разрушена)</t>
  </si>
  <si>
    <t>открытый павильон 6,0 м2,  на бет.платформе 7,65м2 -мет., обшит с 2-х сторон,  урна (1), знак (2), пандус 3,0 м2, разметка</t>
  </si>
  <si>
    <t>открытый павильон 6,0 м2,  на бет.платформе 7,65м2 -мет., обшит с 2-х сторон,  урна (1), знак (2), пандус 6,6 м2, разметка</t>
  </si>
  <si>
    <t>открытый павильон 6 м2,  на бет.платформе -мет. Обшит с 2-х сторон основ.- брусч., скамейки - 2,2*0,45*0,6*4, урна (2), знак (2), пандус (2)</t>
  </si>
  <si>
    <t>Ост. «Детская больница» (ч.с.)</t>
  </si>
  <si>
    <t>Ост. «Пушкина» (ч.с.)</t>
  </si>
  <si>
    <t>метал.павильон 24,8 м2. Покрытие брусч., знаки 1, урна,расписание</t>
  </si>
  <si>
    <t>Улица Некрасова (23 ост) 22 шт. город</t>
  </si>
  <si>
    <t>Улица Владивостокское шоссе (18 ост) 7шт. город</t>
  </si>
  <si>
    <t>торговый киоск - 1шт.</t>
  </si>
  <si>
    <t xml:space="preserve">2. Ост. «кинобаза» (ч.с.) </t>
  </si>
  <si>
    <t>на балансе</t>
  </si>
  <si>
    <r>
      <t xml:space="preserve">открытый павильон (3,4*1,65) - мет.ст.,  обшив. 1ст. Мет., покрытие поликарб.,основ.-брусч., скамейка - 4,5*0,45*0,5, урна (6), знак (1), расписание, пандус; </t>
    </r>
    <r>
      <rPr>
        <b/>
        <sz val="12"/>
        <rFont val="Times New Roman"/>
        <family val="1"/>
      </rPr>
      <t>открытый павильон 6,0 м2,  на бет.платформе -мет. Обшит с 2-х сторон</t>
    </r>
    <r>
      <rPr>
        <sz val="12"/>
        <rFont val="Times New Roman"/>
        <family val="1"/>
      </rPr>
      <t>,</t>
    </r>
  </si>
  <si>
    <r>
      <t xml:space="preserve">урна (6), знак (1), пандус (3); </t>
    </r>
    <r>
      <rPr>
        <b/>
        <sz val="12"/>
        <rFont val="Times New Roman"/>
        <family val="1"/>
      </rPr>
      <t>открытый павильон 6,0 м2,  на бет.платформе -мет. Обшит с 2-х сторон,</t>
    </r>
  </si>
  <si>
    <r>
      <rPr>
        <b/>
        <sz val="12"/>
        <rFont val="Times New Roman"/>
        <family val="1"/>
      </rPr>
      <t>открытый павильон 6,0 м2,  на бет.платформе -мет. Обшит с 2-х сторон,</t>
    </r>
    <r>
      <rPr>
        <sz val="12"/>
        <rFont val="Times New Roman"/>
        <family val="1"/>
      </rPr>
      <t xml:space="preserve"> открытый павильон (7,5*3,5) - мет.ст., без обшив., покрытие поликарб.,основ.-брусч., скамейка - 3шт, урна (3), знак (2), расписание</t>
    </r>
  </si>
  <si>
    <t>закрытый павильон (4,00*1,5) - мет.ст., обшит  поликарб, покрытие  поликарб, основание - бетон, покрытие - брусчатка, урна (1), скамейка - 3,0*0,4*0,5, знак (2), расписание</t>
  </si>
  <si>
    <t>платформа -бетон, урна (1), скамейка - 3,0*0,4*0,5, знак (2), расписание</t>
  </si>
  <si>
    <t>основ.-брусч., скамейка - 3,0*0,4*0,5, урна (2), знак (2), расписание</t>
  </si>
  <si>
    <t xml:space="preserve">знак (2), платформа - бетон, </t>
  </si>
  <si>
    <t>автобусные остановки, расположенные на автомобильных дорогах в г. Уссурийске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</si>
</sst>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5">
    <font>
      <sz val="10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17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176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18" xfId="0" applyFill="1" applyBorder="1" applyAlignment="1">
      <alignment horizontal="center" vertical="top"/>
    </xf>
    <xf numFmtId="0" fontId="1" fillId="33" borderId="19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top" wrapText="1"/>
    </xf>
    <xf numFmtId="176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21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/>
    </xf>
    <xf numFmtId="0" fontId="1" fillId="33" borderId="23" xfId="0" applyFont="1" applyFill="1" applyBorder="1" applyAlignment="1">
      <alignment vertical="top" wrapText="1"/>
    </xf>
    <xf numFmtId="176" fontId="0" fillId="33" borderId="23" xfId="0" applyNumberFormat="1" applyFill="1" applyBorder="1" applyAlignment="1">
      <alignment vertical="top"/>
    </xf>
    <xf numFmtId="0" fontId="0" fillId="33" borderId="23" xfId="0" applyFill="1" applyBorder="1" applyAlignment="1">
      <alignment vertical="top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4" borderId="25" xfId="0" applyFill="1" applyBorder="1" applyAlignment="1">
      <alignment horizontal="center" vertical="center"/>
    </xf>
    <xf numFmtId="0" fontId="1" fillId="34" borderId="14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25" borderId="17" xfId="0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wrapText="1"/>
    </xf>
    <xf numFmtId="176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1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0" fillId="34" borderId="17" xfId="0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176" fontId="0" fillId="34" borderId="10" xfId="0" applyNumberFormat="1" applyFill="1" applyBorder="1" applyAlignment="1">
      <alignment/>
    </xf>
    <xf numFmtId="0" fontId="0" fillId="34" borderId="26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176" fontId="0" fillId="25" borderId="10" xfId="0" applyNumberFormat="1" applyFill="1" applyBorder="1" applyAlignment="1">
      <alignment vertical="top"/>
    </xf>
    <xf numFmtId="0" fontId="0" fillId="25" borderId="10" xfId="0" applyFill="1" applyBorder="1" applyAlignment="1">
      <alignment vertical="top"/>
    </xf>
    <xf numFmtId="0" fontId="0" fillId="25" borderId="18" xfId="0" applyFill="1" applyBorder="1" applyAlignment="1">
      <alignment horizontal="center" vertical="center"/>
    </xf>
    <xf numFmtId="0" fontId="1" fillId="25" borderId="19" xfId="0" applyFont="1" applyFill="1" applyBorder="1" applyAlignment="1">
      <alignment horizontal="left" vertical="center" wrapText="1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Alignment="1">
      <alignment vertical="top"/>
    </xf>
    <xf numFmtId="0" fontId="0" fillId="25" borderId="27" xfId="0" applyFill="1" applyBorder="1" applyAlignment="1">
      <alignment horizontal="center" vertical="top"/>
    </xf>
    <xf numFmtId="0" fontId="1" fillId="25" borderId="23" xfId="0" applyFont="1" applyFill="1" applyBorder="1" applyAlignment="1">
      <alignment horizontal="left" vertical="top" wrapText="1"/>
    </xf>
    <xf numFmtId="0" fontId="1" fillId="25" borderId="23" xfId="0" applyFont="1" applyFill="1" applyBorder="1" applyAlignment="1">
      <alignment vertical="top" wrapText="1"/>
    </xf>
    <xf numFmtId="176" fontId="0" fillId="25" borderId="23" xfId="0" applyNumberFormat="1" applyFill="1" applyBorder="1" applyAlignment="1">
      <alignment vertical="top"/>
    </xf>
    <xf numFmtId="0" fontId="0" fillId="25" borderId="23" xfId="0" applyFill="1" applyBorder="1" applyAlignment="1">
      <alignment vertical="top"/>
    </xf>
    <xf numFmtId="0" fontId="1" fillId="35" borderId="10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 horizontal="center" vertical="top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176" fontId="0" fillId="35" borderId="10" xfId="0" applyNumberForma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35" borderId="0" xfId="0" applyFill="1" applyAlignment="1">
      <alignment vertical="top"/>
    </xf>
    <xf numFmtId="0" fontId="0" fillId="35" borderId="17" xfId="0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18" xfId="0" applyFill="1" applyBorder="1" applyAlignment="1">
      <alignment horizontal="center" vertical="top"/>
    </xf>
    <xf numFmtId="0" fontId="1" fillId="35" borderId="19" xfId="0" applyFont="1" applyFill="1" applyBorder="1" applyAlignment="1">
      <alignment horizontal="left" vertical="top" wrapText="1"/>
    </xf>
    <xf numFmtId="0" fontId="0" fillId="35" borderId="18" xfId="0" applyFill="1" applyBorder="1" applyAlignment="1">
      <alignment horizontal="center" vertical="center"/>
    </xf>
    <xf numFmtId="0" fontId="1" fillId="35" borderId="19" xfId="0" applyFont="1" applyFill="1" applyBorder="1" applyAlignment="1">
      <alignment horizontal="left" vertical="center" wrapText="1"/>
    </xf>
    <xf numFmtId="176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top"/>
    </xf>
    <xf numFmtId="0" fontId="1" fillId="34" borderId="19" xfId="0" applyFont="1" applyFill="1" applyBorder="1" applyAlignment="1">
      <alignment horizontal="left" vertical="top" wrapText="1"/>
    </xf>
    <xf numFmtId="176" fontId="0" fillId="34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7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1" fillId="34" borderId="21" xfId="0" applyFont="1" applyFill="1" applyBorder="1" applyAlignment="1">
      <alignment horizontal="left" vertical="top" wrapText="1"/>
    </xf>
    <xf numFmtId="176" fontId="0" fillId="34" borderId="10" xfId="0" applyNumberFormat="1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0" fontId="0" fillId="34" borderId="22" xfId="0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0" fillId="34" borderId="22" xfId="0" applyFill="1" applyBorder="1" applyAlignment="1">
      <alignment horizontal="center"/>
    </xf>
    <xf numFmtId="0" fontId="1" fillId="34" borderId="23" xfId="0" applyFont="1" applyFill="1" applyBorder="1" applyAlignment="1">
      <alignment vertical="top" wrapText="1"/>
    </xf>
    <xf numFmtId="176" fontId="0" fillId="34" borderId="23" xfId="0" applyNumberFormat="1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34" borderId="14" xfId="0" applyFont="1" applyFill="1" applyBorder="1" applyAlignment="1">
      <alignment wrapText="1"/>
    </xf>
    <xf numFmtId="0" fontId="0" fillId="34" borderId="0" xfId="0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0" fillId="34" borderId="27" xfId="0" applyFill="1" applyBorder="1" applyAlignment="1">
      <alignment horizontal="center" vertical="top"/>
    </xf>
    <xf numFmtId="0" fontId="1" fillId="34" borderId="23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7" fillId="34" borderId="10" xfId="0" applyFont="1" applyFill="1" applyBorder="1" applyAlignment="1">
      <alignment wrapText="1"/>
    </xf>
    <xf numFmtId="0" fontId="0" fillId="34" borderId="10" xfId="0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33" borderId="11" xfId="0" applyFill="1" applyBorder="1" applyAlignment="1">
      <alignment vertical="top" wrapText="1"/>
    </xf>
    <xf numFmtId="0" fontId="0" fillId="34" borderId="11" xfId="0" applyFill="1" applyBorder="1" applyAlignment="1">
      <alignment wrapText="1"/>
    </xf>
    <xf numFmtId="0" fontId="0" fillId="25" borderId="11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3" borderId="11" xfId="0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0" fontId="0" fillId="33" borderId="29" xfId="0" applyFill="1" applyBorder="1" applyAlignment="1">
      <alignment vertical="top" wrapText="1"/>
    </xf>
    <xf numFmtId="0" fontId="0" fillId="25" borderId="29" xfId="0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34" borderId="24" xfId="0" applyFont="1" applyFill="1" applyBorder="1" applyAlignment="1">
      <alignment horizontal="left" vertical="center" wrapText="1"/>
    </xf>
    <xf numFmtId="176" fontId="0" fillId="34" borderId="0" xfId="0" applyNumberFormat="1" applyFill="1" applyAlignment="1">
      <alignment textRotation="90"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34" borderId="23" xfId="0" applyFill="1" applyBorder="1" applyAlignment="1">
      <alignment vertical="top" wrapText="1"/>
    </xf>
    <xf numFmtId="0" fontId="0" fillId="34" borderId="30" xfId="0" applyFill="1" applyBorder="1" applyAlignment="1">
      <alignment/>
    </xf>
    <xf numFmtId="0" fontId="0" fillId="0" borderId="30" xfId="0" applyBorder="1" applyAlignment="1">
      <alignment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wrapText="1"/>
    </xf>
    <xf numFmtId="0" fontId="0" fillId="12" borderId="0" xfId="0" applyFill="1" applyAlignment="1">
      <alignment/>
    </xf>
    <xf numFmtId="0" fontId="0" fillId="12" borderId="17" xfId="0" applyFill="1" applyBorder="1" applyAlignment="1">
      <alignment horizontal="center" vertical="center"/>
    </xf>
    <xf numFmtId="0" fontId="1" fillId="12" borderId="10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wrapText="1"/>
    </xf>
    <xf numFmtId="176" fontId="0" fillId="12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7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176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 wrapText="1"/>
    </xf>
    <xf numFmtId="0" fontId="0" fillId="3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top" wrapText="1"/>
    </xf>
    <xf numFmtId="176" fontId="7" fillId="34" borderId="10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top" wrapText="1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17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0" xfId="0" applyFill="1" applyAlignment="1">
      <alignment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1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7" fillId="34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top"/>
    </xf>
    <xf numFmtId="0" fontId="0" fillId="35" borderId="2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54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/>
    </xf>
    <xf numFmtId="0" fontId="7" fillId="34" borderId="18" xfId="0" applyFont="1" applyFill="1" applyBorder="1" applyAlignment="1">
      <alignment horizontal="center" vertical="top"/>
    </xf>
    <xf numFmtId="0" fontId="5" fillId="34" borderId="19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vertical="center"/>
    </xf>
    <xf numFmtId="0" fontId="0" fillId="34" borderId="18" xfId="0" applyFill="1" applyBorder="1" applyAlignment="1">
      <alignment/>
    </xf>
    <xf numFmtId="0" fontId="1" fillId="34" borderId="19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76" fontId="7" fillId="7" borderId="10" xfId="0" applyNumberFormat="1" applyFont="1" applyFill="1" applyBorder="1" applyAlignment="1">
      <alignment vertical="top"/>
    </xf>
    <xf numFmtId="176" fontId="0" fillId="7" borderId="10" xfId="0" applyNumberFormat="1" applyFill="1" applyBorder="1" applyAlignment="1">
      <alignment/>
    </xf>
    <xf numFmtId="176" fontId="1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76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4" borderId="14" xfId="0" applyFont="1" applyFill="1" applyBorder="1" applyAlignment="1">
      <alignment horizontal="center"/>
    </xf>
    <xf numFmtId="176" fontId="1" fillId="34" borderId="10" xfId="0" applyNumberFormat="1" applyFont="1" applyFill="1" applyBorder="1" applyAlignment="1">
      <alignment vertical="top" wrapText="1"/>
    </xf>
    <xf numFmtId="176" fontId="0" fillId="34" borderId="14" xfId="0" applyNumberFormat="1" applyFill="1" applyBorder="1" applyAlignment="1">
      <alignment horizontal="center"/>
    </xf>
    <xf numFmtId="176" fontId="7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wrapText="1"/>
    </xf>
    <xf numFmtId="176" fontId="1" fillId="34" borderId="10" xfId="0" applyNumberFormat="1" applyFont="1" applyFill="1" applyBorder="1" applyAlignment="1">
      <alignment horizontal="left" vertical="top" wrapText="1"/>
    </xf>
    <xf numFmtId="176" fontId="5" fillId="34" borderId="10" xfId="0" applyNumberFormat="1" applyFont="1" applyFill="1" applyBorder="1" applyAlignment="1">
      <alignment vertical="top" wrapText="1"/>
    </xf>
    <xf numFmtId="176" fontId="5" fillId="34" borderId="10" xfId="0" applyNumberFormat="1" applyFont="1" applyFill="1" applyBorder="1" applyAlignment="1">
      <alignment wrapText="1"/>
    </xf>
    <xf numFmtId="0" fontId="1" fillId="34" borderId="19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4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wrapText="1"/>
    </xf>
    <xf numFmtId="176" fontId="7" fillId="34" borderId="33" xfId="0" applyNumberFormat="1" applyFont="1" applyFill="1" applyBorder="1" applyAlignment="1">
      <alignment wrapText="1"/>
    </xf>
    <xf numFmtId="176" fontId="7" fillId="34" borderId="34" xfId="0" applyNumberFormat="1" applyFont="1" applyFill="1" applyBorder="1" applyAlignment="1">
      <alignment/>
    </xf>
    <xf numFmtId="176" fontId="7" fillId="34" borderId="35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 wrapText="1"/>
    </xf>
    <xf numFmtId="0" fontId="0" fillId="34" borderId="18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32" xfId="0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0" fillId="0" borderId="36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6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1" fillId="0" borderId="19" xfId="0" applyFont="1" applyBorder="1" applyAlignment="1">
      <alignment textRotation="90" wrapText="1"/>
    </xf>
    <xf numFmtId="0" fontId="0" fillId="0" borderId="36" xfId="0" applyBorder="1" applyAlignment="1">
      <alignment textRotation="90" wrapText="1"/>
    </xf>
    <xf numFmtId="0" fontId="0" fillId="0" borderId="32" xfId="0" applyBorder="1" applyAlignment="1">
      <alignment textRotation="90" wrapText="1"/>
    </xf>
    <xf numFmtId="0" fontId="11" fillId="0" borderId="19" xfId="0" applyFont="1" applyBorder="1" applyAlignment="1">
      <alignment textRotation="90" wrapText="1"/>
    </xf>
    <xf numFmtId="0" fontId="8" fillId="0" borderId="36" xfId="0" applyFont="1" applyBorder="1" applyAlignment="1">
      <alignment textRotation="90" wrapText="1"/>
    </xf>
    <xf numFmtId="0" fontId="8" fillId="0" borderId="32" xfId="0" applyFont="1" applyBorder="1" applyAlignment="1">
      <alignment textRotation="90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6" fontId="1" fillId="34" borderId="23" xfId="0" applyNumberFormat="1" applyFont="1" applyFill="1" applyBorder="1" applyAlignment="1">
      <alignment vertical="top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2" fillId="34" borderId="17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7"/>
  <sheetViews>
    <sheetView zoomScale="140" zoomScaleNormal="140" zoomScaleSheetLayoutView="100" zoomScalePageLayoutView="0" workbookViewId="0" topLeftCell="A451">
      <selection activeCell="G36" sqref="G36"/>
    </sheetView>
  </sheetViews>
  <sheetFormatPr defaultColWidth="9.00390625" defaultRowHeight="12.75"/>
  <cols>
    <col min="1" max="1" width="5.125" style="8" customWidth="1"/>
    <col min="2" max="2" width="53.875" style="8" customWidth="1"/>
    <col min="3" max="3" width="14.375" style="8" customWidth="1"/>
    <col min="4" max="4" width="15.625" style="245" customWidth="1"/>
    <col min="5" max="5" width="14.875" style="8" customWidth="1"/>
    <col min="6" max="16384" width="9.125" style="8" customWidth="1"/>
  </cols>
  <sheetData>
    <row r="1" spans="2:5" ht="47.25" customHeight="1">
      <c r="B1" s="372" t="s">
        <v>1112</v>
      </c>
      <c r="C1" s="373"/>
      <c r="D1" s="373"/>
      <c r="E1" s="373"/>
    </row>
    <row r="2" spans="2:7" ht="31.5">
      <c r="B2" s="5" t="s">
        <v>230</v>
      </c>
      <c r="C2" s="6" t="s">
        <v>946</v>
      </c>
      <c r="D2" s="6" t="s">
        <v>231</v>
      </c>
      <c r="E2" s="5" t="s">
        <v>237</v>
      </c>
      <c r="G2" s="8" t="s">
        <v>1154</v>
      </c>
    </row>
    <row r="3" spans="2:5" ht="15.75">
      <c r="B3" s="338" t="s">
        <v>856</v>
      </c>
      <c r="C3" s="339"/>
      <c r="D3" s="339"/>
      <c r="E3" s="340"/>
    </row>
    <row r="4" spans="1:5" ht="15.75">
      <c r="A4" s="8">
        <v>1</v>
      </c>
      <c r="B4" s="1" t="s">
        <v>318</v>
      </c>
      <c r="C4" s="9">
        <v>20.8</v>
      </c>
      <c r="D4" s="18" t="s">
        <v>238</v>
      </c>
      <c r="E4" s="9"/>
    </row>
    <row r="5" spans="1:6" ht="15.75">
      <c r="A5" s="8">
        <v>2</v>
      </c>
      <c r="B5" s="1" t="s">
        <v>319</v>
      </c>
      <c r="C5" s="9">
        <v>34</v>
      </c>
      <c r="D5" s="246" t="s">
        <v>240</v>
      </c>
      <c r="E5" s="9"/>
      <c r="F5" s="8" t="s">
        <v>972</v>
      </c>
    </row>
    <row r="6" spans="2:5" ht="15.75">
      <c r="B6" s="338" t="s">
        <v>2</v>
      </c>
      <c r="C6" s="339"/>
      <c r="D6" s="339"/>
      <c r="E6" s="340"/>
    </row>
    <row r="7" spans="1:5" ht="15.75">
      <c r="A7" s="8">
        <v>3</v>
      </c>
      <c r="B7" s="1" t="s">
        <v>3</v>
      </c>
      <c r="C7" s="9">
        <v>4.5</v>
      </c>
      <c r="D7" s="18" t="s">
        <v>238</v>
      </c>
      <c r="E7" s="1"/>
    </row>
    <row r="8" spans="2:5" ht="15.75">
      <c r="B8" s="338" t="s">
        <v>4</v>
      </c>
      <c r="C8" s="339"/>
      <c r="D8" s="339"/>
      <c r="E8" s="340"/>
    </row>
    <row r="9" spans="1:5" ht="15.75">
      <c r="A9" s="8">
        <v>4</v>
      </c>
      <c r="B9" s="1" t="s">
        <v>5</v>
      </c>
      <c r="C9" s="9">
        <v>8.3</v>
      </c>
      <c r="D9" s="13" t="s">
        <v>238</v>
      </c>
      <c r="E9" s="1"/>
    </row>
    <row r="10" spans="2:5" ht="15.75">
      <c r="B10" s="338" t="s">
        <v>8</v>
      </c>
      <c r="C10" s="339"/>
      <c r="D10" s="339"/>
      <c r="E10" s="340"/>
    </row>
    <row r="11" spans="1:5" ht="15.75">
      <c r="A11" s="8">
        <v>5</v>
      </c>
      <c r="B11" s="1" t="s">
        <v>9</v>
      </c>
      <c r="C11" s="9">
        <v>46.6</v>
      </c>
      <c r="D11" s="13" t="s">
        <v>238</v>
      </c>
      <c r="E11" s="1"/>
    </row>
    <row r="12" spans="2:5" ht="15.75">
      <c r="B12" s="338" t="s">
        <v>10</v>
      </c>
      <c r="C12" s="339"/>
      <c r="D12" s="339"/>
      <c r="E12" s="340"/>
    </row>
    <row r="13" spans="1:5" ht="15.75">
      <c r="A13" s="8">
        <v>6</v>
      </c>
      <c r="B13" s="1" t="s">
        <v>11</v>
      </c>
      <c r="C13" s="9"/>
      <c r="D13" s="13"/>
      <c r="E13" s="1"/>
    </row>
    <row r="14" spans="2:5" ht="15.75">
      <c r="B14" s="338" t="s">
        <v>12</v>
      </c>
      <c r="C14" s="339"/>
      <c r="D14" s="339"/>
      <c r="E14" s="340"/>
    </row>
    <row r="15" spans="1:5" ht="15.75">
      <c r="A15" s="8">
        <v>7</v>
      </c>
      <c r="B15" s="1" t="s">
        <v>13</v>
      </c>
      <c r="C15" s="9">
        <v>8.1</v>
      </c>
      <c r="D15" s="13" t="s">
        <v>238</v>
      </c>
      <c r="E15" s="1" t="s">
        <v>965</v>
      </c>
    </row>
    <row r="16" spans="1:6" ht="15.75">
      <c r="A16" s="8">
        <v>8</v>
      </c>
      <c r="B16" s="1" t="s">
        <v>14</v>
      </c>
      <c r="C16" s="9">
        <v>33</v>
      </c>
      <c r="D16" s="13" t="s">
        <v>238</v>
      </c>
      <c r="E16" s="1"/>
      <c r="F16" s="8">
        <v>2018</v>
      </c>
    </row>
    <row r="17" spans="1:6" ht="15.75">
      <c r="A17" s="8">
        <v>9</v>
      </c>
      <c r="B17" s="1" t="s">
        <v>15</v>
      </c>
      <c r="C17" s="9">
        <v>15</v>
      </c>
      <c r="D17" s="13" t="s">
        <v>240</v>
      </c>
      <c r="E17" s="1"/>
      <c r="F17" s="8">
        <v>2018</v>
      </c>
    </row>
    <row r="18" spans="1:5" ht="15.75">
      <c r="A18" s="8">
        <v>10</v>
      </c>
      <c r="B18" s="1" t="s">
        <v>16</v>
      </c>
      <c r="C18" s="9">
        <v>12</v>
      </c>
      <c r="D18" s="13" t="s">
        <v>238</v>
      </c>
      <c r="E18" s="1"/>
    </row>
    <row r="19" spans="1:5" ht="15.75">
      <c r="A19" s="8">
        <v>11</v>
      </c>
      <c r="B19" s="1" t="s">
        <v>17</v>
      </c>
      <c r="C19" s="9">
        <v>6.6</v>
      </c>
      <c r="D19" s="13" t="s">
        <v>238</v>
      </c>
      <c r="E19" s="1"/>
    </row>
    <row r="20" spans="1:5" ht="15.75">
      <c r="A20" s="8">
        <v>12</v>
      </c>
      <c r="B20" s="1" t="s">
        <v>18</v>
      </c>
      <c r="C20" s="9"/>
      <c r="D20" s="13"/>
      <c r="E20" s="1"/>
    </row>
    <row r="21" spans="1:5" ht="15.75">
      <c r="A21" s="8">
        <v>13</v>
      </c>
      <c r="B21" s="1" t="s">
        <v>944</v>
      </c>
      <c r="C21" s="9">
        <v>37.5</v>
      </c>
      <c r="D21" s="13" t="s">
        <v>238</v>
      </c>
      <c r="E21" s="1"/>
    </row>
    <row r="22" spans="1:5" ht="15.75">
      <c r="A22" s="8">
        <v>14</v>
      </c>
      <c r="B22" s="1" t="s">
        <v>19</v>
      </c>
      <c r="C22" s="9">
        <v>18.9</v>
      </c>
      <c r="D22" s="13" t="s">
        <v>238</v>
      </c>
      <c r="E22" s="1"/>
    </row>
    <row r="23" spans="1:5" ht="31.5">
      <c r="A23" s="8">
        <v>15</v>
      </c>
      <c r="B23" s="1" t="s">
        <v>20</v>
      </c>
      <c r="C23" s="9">
        <v>12</v>
      </c>
      <c r="D23" s="13" t="s">
        <v>949</v>
      </c>
      <c r="E23" s="1"/>
    </row>
    <row r="24" spans="1:6" ht="15.75">
      <c r="A24" s="8">
        <v>16</v>
      </c>
      <c r="B24" s="1" t="s">
        <v>1124</v>
      </c>
      <c r="C24" s="9">
        <v>34</v>
      </c>
      <c r="D24" s="13" t="s">
        <v>238</v>
      </c>
      <c r="E24" s="1"/>
      <c r="F24" s="8">
        <v>2019</v>
      </c>
    </row>
    <row r="25" spans="1:5" ht="15.75">
      <c r="A25" s="8">
        <v>17</v>
      </c>
      <c r="B25" s="1" t="s">
        <v>21</v>
      </c>
      <c r="C25" s="9">
        <v>18.6</v>
      </c>
      <c r="D25" s="13" t="s">
        <v>238</v>
      </c>
      <c r="E25" s="1"/>
    </row>
    <row r="26" spans="1:5" ht="15.75">
      <c r="A26" s="8">
        <v>18</v>
      </c>
      <c r="B26" s="1" t="s">
        <v>22</v>
      </c>
      <c r="C26" s="9">
        <v>10.2</v>
      </c>
      <c r="D26" s="13" t="s">
        <v>238</v>
      </c>
      <c r="E26" s="1"/>
    </row>
    <row r="27" spans="2:5" ht="15.75">
      <c r="B27" s="338" t="s">
        <v>249</v>
      </c>
      <c r="C27" s="339"/>
      <c r="D27" s="339"/>
      <c r="E27" s="340"/>
    </row>
    <row r="28" spans="1:5" ht="15.75">
      <c r="A28" s="8">
        <v>19</v>
      </c>
      <c r="B28" s="1" t="s">
        <v>1</v>
      </c>
      <c r="C28" s="9">
        <v>46.5</v>
      </c>
      <c r="D28" s="18" t="s">
        <v>238</v>
      </c>
      <c r="E28" s="9" t="s">
        <v>943</v>
      </c>
    </row>
    <row r="29" spans="1:5" ht="15.75">
      <c r="A29" s="8">
        <v>20</v>
      </c>
      <c r="B29" s="1" t="s">
        <v>23</v>
      </c>
      <c r="C29" s="9">
        <v>15.6</v>
      </c>
      <c r="D29" s="18" t="s">
        <v>238</v>
      </c>
      <c r="E29" s="357" t="s">
        <v>943</v>
      </c>
    </row>
    <row r="30" spans="1:5" ht="15.75">
      <c r="A30" s="8">
        <v>21</v>
      </c>
      <c r="B30" s="1" t="s">
        <v>24</v>
      </c>
      <c r="C30" s="9">
        <v>32.4</v>
      </c>
      <c r="D30" s="18" t="s">
        <v>238</v>
      </c>
      <c r="E30" s="358"/>
    </row>
    <row r="31" spans="1:5" ht="15.75">
      <c r="A31" s="8">
        <v>22</v>
      </c>
      <c r="B31" s="1" t="s">
        <v>349</v>
      </c>
      <c r="C31" s="9">
        <v>24.9</v>
      </c>
      <c r="D31" s="18" t="s">
        <v>238</v>
      </c>
      <c r="E31" s="358"/>
    </row>
    <row r="32" spans="1:5" ht="31.5">
      <c r="A32" s="8">
        <v>23</v>
      </c>
      <c r="B32" s="1" t="s">
        <v>947</v>
      </c>
      <c r="C32" s="9">
        <v>112.6</v>
      </c>
      <c r="D32" s="18" t="s">
        <v>948</v>
      </c>
      <c r="E32" s="358"/>
    </row>
    <row r="33" spans="1:5" ht="31.5">
      <c r="A33" s="8">
        <v>24</v>
      </c>
      <c r="B33" s="1" t="s">
        <v>25</v>
      </c>
      <c r="C33" s="9">
        <v>69.7</v>
      </c>
      <c r="D33" s="18" t="s">
        <v>948</v>
      </c>
      <c r="E33" s="358"/>
    </row>
    <row r="34" spans="1:5" ht="15.75">
      <c r="A34" s="8">
        <v>25</v>
      </c>
      <c r="B34" s="1" t="s">
        <v>26</v>
      </c>
      <c r="C34" s="9">
        <v>41.9</v>
      </c>
      <c r="D34" s="18" t="s">
        <v>238</v>
      </c>
      <c r="E34" s="358"/>
    </row>
    <row r="35" spans="1:7" ht="15.75">
      <c r="A35" s="8">
        <v>26</v>
      </c>
      <c r="B35" s="1" t="s">
        <v>27</v>
      </c>
      <c r="C35" s="9">
        <v>16.6</v>
      </c>
      <c r="D35" s="18" t="s">
        <v>238</v>
      </c>
      <c r="E35" s="359"/>
      <c r="G35" s="8">
        <f>SUM(C28:C35)</f>
        <v>360.2</v>
      </c>
    </row>
    <row r="36" spans="1:5" ht="15.75">
      <c r="A36" s="8">
        <v>27</v>
      </c>
      <c r="B36" s="1" t="s">
        <v>28</v>
      </c>
      <c r="C36" s="9"/>
      <c r="D36" s="18"/>
      <c r="E36" s="360" t="s">
        <v>945</v>
      </c>
    </row>
    <row r="37" spans="1:5" ht="15.75">
      <c r="A37" s="8">
        <v>28</v>
      </c>
      <c r="B37" s="1" t="s">
        <v>29</v>
      </c>
      <c r="C37" s="9">
        <v>26.4</v>
      </c>
      <c r="D37" s="18" t="s">
        <v>238</v>
      </c>
      <c r="E37" s="361"/>
    </row>
    <row r="38" spans="1:5" ht="15.75">
      <c r="A38" s="8">
        <v>29</v>
      </c>
      <c r="B38" s="1" t="s">
        <v>950</v>
      </c>
      <c r="C38" s="9">
        <v>21.6</v>
      </c>
      <c r="D38" s="18" t="s">
        <v>240</v>
      </c>
      <c r="E38" s="361"/>
    </row>
    <row r="39" spans="1:5" ht="15.75">
      <c r="A39" s="8">
        <v>30</v>
      </c>
      <c r="B39" s="1" t="s">
        <v>951</v>
      </c>
      <c r="C39" s="9">
        <v>14</v>
      </c>
      <c r="D39" s="18" t="s">
        <v>240</v>
      </c>
      <c r="E39" s="361"/>
    </row>
    <row r="40" spans="1:5" ht="15.75">
      <c r="A40" s="8">
        <v>31</v>
      </c>
      <c r="B40" s="1" t="s">
        <v>30</v>
      </c>
      <c r="C40" s="9">
        <v>15.4</v>
      </c>
      <c r="D40" s="18" t="s">
        <v>238</v>
      </c>
      <c r="E40" s="361"/>
    </row>
    <row r="41" spans="1:5" ht="15.75">
      <c r="A41" s="8">
        <v>32</v>
      </c>
      <c r="B41" s="1" t="s">
        <v>31</v>
      </c>
      <c r="C41" s="9"/>
      <c r="D41" s="18"/>
      <c r="E41" s="361"/>
    </row>
    <row r="42" spans="1:5" ht="15.75">
      <c r="A42" s="8">
        <v>33</v>
      </c>
      <c r="B42" s="1" t="s">
        <v>952</v>
      </c>
      <c r="C42" s="9">
        <v>21.6</v>
      </c>
      <c r="D42" s="18" t="s">
        <v>240</v>
      </c>
      <c r="E42" s="361"/>
    </row>
    <row r="43" spans="1:5" ht="15.75">
      <c r="A43" s="8">
        <v>34</v>
      </c>
      <c r="B43" s="1" t="s">
        <v>953</v>
      </c>
      <c r="C43" s="9">
        <v>15.9</v>
      </c>
      <c r="D43" s="18" t="s">
        <v>238</v>
      </c>
      <c r="E43" s="361"/>
    </row>
    <row r="44" spans="1:5" ht="15.75">
      <c r="A44" s="8">
        <v>35</v>
      </c>
      <c r="B44" s="1" t="s">
        <v>954</v>
      </c>
      <c r="C44" s="9"/>
      <c r="D44" s="18"/>
      <c r="E44" s="361"/>
    </row>
    <row r="45" spans="1:5" ht="15.75">
      <c r="A45" s="8">
        <v>36</v>
      </c>
      <c r="B45" s="1" t="s">
        <v>283</v>
      </c>
      <c r="C45" s="9"/>
      <c r="D45" s="18"/>
      <c r="E45" s="361"/>
    </row>
    <row r="46" spans="1:5" ht="15.75">
      <c r="A46" s="8">
        <v>37</v>
      </c>
      <c r="B46" s="1" t="s">
        <v>955</v>
      </c>
      <c r="C46" s="9">
        <v>15.7</v>
      </c>
      <c r="D46" s="18" t="s">
        <v>238</v>
      </c>
      <c r="E46" s="362"/>
    </row>
    <row r="47" spans="2:5" ht="15.75">
      <c r="B47" s="338" t="s">
        <v>32</v>
      </c>
      <c r="C47" s="339"/>
      <c r="D47" s="339"/>
      <c r="E47" s="340"/>
    </row>
    <row r="48" spans="1:5" ht="15.75">
      <c r="A48" s="8">
        <v>38</v>
      </c>
      <c r="B48" s="1" t="s">
        <v>33</v>
      </c>
      <c r="C48" s="9">
        <v>37.9</v>
      </c>
      <c r="D48" s="13" t="s">
        <v>240</v>
      </c>
      <c r="E48" s="1"/>
    </row>
    <row r="49" spans="1:5" ht="15.75">
      <c r="A49" s="8">
        <v>39</v>
      </c>
      <c r="B49" s="1" t="s">
        <v>34</v>
      </c>
      <c r="C49" s="9">
        <v>42</v>
      </c>
      <c r="D49" s="13" t="s">
        <v>240</v>
      </c>
      <c r="E49" s="1"/>
    </row>
    <row r="50" spans="1:6" ht="15.75">
      <c r="A50" s="8">
        <v>40</v>
      </c>
      <c r="B50" s="1" t="s">
        <v>35</v>
      </c>
      <c r="C50" s="9">
        <v>32</v>
      </c>
      <c r="D50" s="13" t="s">
        <v>240</v>
      </c>
      <c r="E50" s="1"/>
      <c r="F50" s="8" t="s">
        <v>972</v>
      </c>
    </row>
    <row r="51" spans="1:5" ht="15.75">
      <c r="A51" s="8">
        <v>41</v>
      </c>
      <c r="B51" s="1" t="s">
        <v>36</v>
      </c>
      <c r="C51" s="9">
        <v>27.3</v>
      </c>
      <c r="D51" s="13" t="s">
        <v>238</v>
      </c>
      <c r="E51" s="1"/>
    </row>
    <row r="52" spans="1:6" ht="15.75">
      <c r="A52" s="8">
        <v>42</v>
      </c>
      <c r="B52" s="1" t="s">
        <v>37</v>
      </c>
      <c r="C52" s="9">
        <v>8.4</v>
      </c>
      <c r="D52" s="13" t="s">
        <v>240</v>
      </c>
      <c r="E52" s="1"/>
      <c r="F52" s="8">
        <v>2018</v>
      </c>
    </row>
    <row r="53" spans="1:6" ht="15.75">
      <c r="A53" s="8">
        <v>43</v>
      </c>
      <c r="B53" s="1" t="s">
        <v>38</v>
      </c>
      <c r="C53" s="9">
        <v>8.4</v>
      </c>
      <c r="D53" s="13" t="s">
        <v>240</v>
      </c>
      <c r="E53" s="1"/>
      <c r="F53" s="8">
        <v>2018</v>
      </c>
    </row>
    <row r="54" spans="2:5" ht="15.75">
      <c r="B54" s="338" t="s">
        <v>39</v>
      </c>
      <c r="C54" s="339"/>
      <c r="D54" s="339"/>
      <c r="E54" s="340"/>
    </row>
    <row r="55" spans="1:5" ht="15.75">
      <c r="A55" s="8">
        <v>44</v>
      </c>
      <c r="B55" s="1" t="s">
        <v>40</v>
      </c>
      <c r="C55" s="9"/>
      <c r="D55" s="13"/>
      <c r="E55" s="1"/>
    </row>
    <row r="56" spans="1:5" ht="15.75">
      <c r="A56" s="8">
        <v>45</v>
      </c>
      <c r="B56" s="1" t="s">
        <v>41</v>
      </c>
      <c r="C56" s="9">
        <v>10.8</v>
      </c>
      <c r="D56" s="13" t="s">
        <v>240</v>
      </c>
      <c r="E56" s="1"/>
    </row>
    <row r="57" spans="1:5" ht="15.75">
      <c r="A57" s="8">
        <v>46</v>
      </c>
      <c r="B57" s="1" t="s">
        <v>42</v>
      </c>
      <c r="C57" s="9"/>
      <c r="D57" s="13"/>
      <c r="E57" s="1"/>
    </row>
    <row r="58" spans="1:5" ht="15.75">
      <c r="A58" s="8">
        <v>47</v>
      </c>
      <c r="B58" s="1" t="s">
        <v>43</v>
      </c>
      <c r="C58" s="9">
        <v>11.8</v>
      </c>
      <c r="D58" s="13" t="s">
        <v>240</v>
      </c>
      <c r="E58" s="1"/>
    </row>
    <row r="59" spans="1:5" ht="15.75">
      <c r="A59" s="8">
        <v>48</v>
      </c>
      <c r="B59" s="1" t="s">
        <v>44</v>
      </c>
      <c r="C59" s="9">
        <v>6.6</v>
      </c>
      <c r="D59" s="13" t="s">
        <v>240</v>
      </c>
      <c r="E59" s="1"/>
    </row>
    <row r="60" spans="1:5" ht="15.75">
      <c r="A60" s="8">
        <v>49</v>
      </c>
      <c r="B60" s="1" t="s">
        <v>45</v>
      </c>
      <c r="C60" s="9"/>
      <c r="D60" s="13"/>
      <c r="E60" s="1"/>
    </row>
    <row r="61" spans="2:5" ht="15.75">
      <c r="B61" s="338" t="s">
        <v>46</v>
      </c>
      <c r="C61" s="339"/>
      <c r="D61" s="339"/>
      <c r="E61" s="340"/>
    </row>
    <row r="62" spans="1:5" ht="15.75">
      <c r="A62" s="8">
        <v>50</v>
      </c>
      <c r="B62" s="1" t="s">
        <v>47</v>
      </c>
      <c r="C62" s="9">
        <v>17.1</v>
      </c>
      <c r="D62" s="13" t="s">
        <v>238</v>
      </c>
      <c r="E62" s="1" t="s">
        <v>965</v>
      </c>
    </row>
    <row r="63" spans="1:6" ht="15.75">
      <c r="A63" s="8">
        <v>51</v>
      </c>
      <c r="B63" s="1" t="s">
        <v>48</v>
      </c>
      <c r="C63" s="9">
        <v>32</v>
      </c>
      <c r="D63" s="13" t="s">
        <v>238</v>
      </c>
      <c r="E63" s="1"/>
      <c r="F63" s="8">
        <v>2019</v>
      </c>
    </row>
    <row r="64" spans="1:6" ht="15.75">
      <c r="A64" s="8">
        <v>52</v>
      </c>
      <c r="B64" s="1" t="s">
        <v>49</v>
      </c>
      <c r="C64" s="9">
        <v>30</v>
      </c>
      <c r="D64" s="13" t="s">
        <v>238</v>
      </c>
      <c r="E64" s="1"/>
      <c r="F64" s="8">
        <v>2019</v>
      </c>
    </row>
    <row r="65" spans="2:5" ht="15.75">
      <c r="B65" s="338" t="s">
        <v>50</v>
      </c>
      <c r="C65" s="339"/>
      <c r="D65" s="339"/>
      <c r="E65" s="340"/>
    </row>
    <row r="66" spans="1:5" ht="15.75">
      <c r="A66" s="8">
        <v>53</v>
      </c>
      <c r="B66" s="1" t="s">
        <v>51</v>
      </c>
      <c r="C66" s="9">
        <v>16</v>
      </c>
      <c r="D66" s="13" t="s">
        <v>238</v>
      </c>
      <c r="E66" s="1" t="s">
        <v>965</v>
      </c>
    </row>
    <row r="67" spans="1:5" ht="15.75">
      <c r="A67" s="8">
        <v>54</v>
      </c>
      <c r="B67" s="1" t="s">
        <v>52</v>
      </c>
      <c r="C67" s="9">
        <v>20.2</v>
      </c>
      <c r="D67" s="13" t="s">
        <v>238</v>
      </c>
      <c r="E67" s="1"/>
    </row>
    <row r="68" spans="1:5" ht="31.5">
      <c r="A68" s="8">
        <v>55</v>
      </c>
      <c r="B68" s="1" t="s">
        <v>53</v>
      </c>
      <c r="C68" s="9">
        <v>40.9</v>
      </c>
      <c r="D68" s="13" t="s">
        <v>949</v>
      </c>
      <c r="E68" s="1"/>
    </row>
    <row r="69" spans="1:5" ht="31.5">
      <c r="A69" s="8">
        <v>56</v>
      </c>
      <c r="B69" s="1" t="s">
        <v>54</v>
      </c>
      <c r="C69" s="9">
        <v>18</v>
      </c>
      <c r="D69" s="13" t="s">
        <v>948</v>
      </c>
      <c r="E69" s="1"/>
    </row>
    <row r="70" spans="1:5" ht="15.75">
      <c r="A70" s="8">
        <v>57</v>
      </c>
      <c r="B70" s="1" t="s">
        <v>55</v>
      </c>
      <c r="C70" s="9">
        <v>19.5</v>
      </c>
      <c r="D70" s="13" t="s">
        <v>240</v>
      </c>
      <c r="E70" s="1"/>
    </row>
    <row r="71" spans="1:5" ht="15.75">
      <c r="A71" s="8">
        <v>58</v>
      </c>
      <c r="B71" s="1" t="s">
        <v>56</v>
      </c>
      <c r="C71" s="9">
        <v>12</v>
      </c>
      <c r="D71" s="13" t="s">
        <v>240</v>
      </c>
      <c r="E71" s="1"/>
    </row>
    <row r="72" spans="1:5" ht="15.75">
      <c r="A72" s="8">
        <v>59</v>
      </c>
      <c r="B72" s="1" t="s">
        <v>57</v>
      </c>
      <c r="C72" s="9">
        <v>17.3</v>
      </c>
      <c r="D72" s="13" t="s">
        <v>240</v>
      </c>
      <c r="E72" s="1"/>
    </row>
    <row r="73" spans="1:5" ht="15.75">
      <c r="A73" s="8">
        <v>60</v>
      </c>
      <c r="B73" s="1" t="s">
        <v>58</v>
      </c>
      <c r="C73" s="9">
        <v>23.5</v>
      </c>
      <c r="D73" s="13" t="s">
        <v>240</v>
      </c>
      <c r="E73" s="1"/>
    </row>
    <row r="74" spans="2:5" ht="15.75">
      <c r="B74" s="348" t="s">
        <v>956</v>
      </c>
      <c r="C74" s="366"/>
      <c r="D74" s="366"/>
      <c r="E74" s="367"/>
    </row>
    <row r="75" spans="1:5" ht="15.75">
      <c r="A75" s="8">
        <v>61</v>
      </c>
      <c r="B75" s="2" t="s">
        <v>890</v>
      </c>
      <c r="C75" s="10">
        <v>21.6</v>
      </c>
      <c r="D75" s="247" t="s">
        <v>238</v>
      </c>
      <c r="E75" s="11"/>
    </row>
    <row r="76" spans="2:5" ht="15.75">
      <c r="B76" s="338" t="s">
        <v>59</v>
      </c>
      <c r="C76" s="339"/>
      <c r="D76" s="339"/>
      <c r="E76" s="340"/>
    </row>
    <row r="77" spans="1:5" ht="15.75">
      <c r="A77" s="8">
        <v>62</v>
      </c>
      <c r="B77" s="1" t="s">
        <v>60</v>
      </c>
      <c r="C77" s="9"/>
      <c r="D77" s="13"/>
      <c r="E77" s="1"/>
    </row>
    <row r="78" spans="2:5" ht="15.75">
      <c r="B78" s="338" t="s">
        <v>957</v>
      </c>
      <c r="C78" s="339"/>
      <c r="D78" s="339"/>
      <c r="E78" s="340"/>
    </row>
    <row r="79" spans="1:5" ht="15.75">
      <c r="A79" s="8">
        <v>63</v>
      </c>
      <c r="B79" s="1" t="s">
        <v>720</v>
      </c>
      <c r="C79" s="9"/>
      <c r="D79" s="13"/>
      <c r="E79" s="1"/>
    </row>
    <row r="80" spans="2:5" ht="15.75">
      <c r="B80" s="338" t="s">
        <v>61</v>
      </c>
      <c r="C80" s="339"/>
      <c r="D80" s="339"/>
      <c r="E80" s="340"/>
    </row>
    <row r="81" spans="1:5" ht="15.75">
      <c r="A81" s="8">
        <v>64</v>
      </c>
      <c r="B81" s="1" t="s">
        <v>62</v>
      </c>
      <c r="C81" s="9">
        <v>18.8</v>
      </c>
      <c r="D81" s="13" t="s">
        <v>238</v>
      </c>
      <c r="E81" s="1"/>
    </row>
    <row r="82" spans="1:5" ht="15.75">
      <c r="A82" s="8">
        <v>65</v>
      </c>
      <c r="B82" s="1" t="s">
        <v>63</v>
      </c>
      <c r="C82" s="9"/>
      <c r="D82" s="13"/>
      <c r="E82" s="1"/>
    </row>
    <row r="83" spans="1:5" ht="15.75">
      <c r="A83" s="8">
        <v>66</v>
      </c>
      <c r="B83" s="1" t="s">
        <v>64</v>
      </c>
      <c r="C83" s="9">
        <v>42</v>
      </c>
      <c r="D83" s="13" t="s">
        <v>238</v>
      </c>
      <c r="E83" s="1"/>
    </row>
    <row r="84" spans="2:5" ht="15.75">
      <c r="B84" s="338" t="s">
        <v>65</v>
      </c>
      <c r="C84" s="339"/>
      <c r="D84" s="339"/>
      <c r="E84" s="340"/>
    </row>
    <row r="85" spans="1:6" ht="15.75">
      <c r="A85" s="8">
        <v>67</v>
      </c>
      <c r="B85" s="1" t="s">
        <v>229</v>
      </c>
      <c r="C85" s="9">
        <v>34</v>
      </c>
      <c r="D85" s="13" t="s">
        <v>238</v>
      </c>
      <c r="E85" s="1"/>
      <c r="F85" s="8">
        <v>2019</v>
      </c>
    </row>
    <row r="86" spans="1:5" ht="15.75">
      <c r="A86" s="8">
        <v>68</v>
      </c>
      <c r="B86" s="1" t="s">
        <v>66</v>
      </c>
      <c r="C86" s="9">
        <v>13.8</v>
      </c>
      <c r="D86" s="13" t="s">
        <v>238</v>
      </c>
      <c r="E86" s="1"/>
    </row>
    <row r="87" spans="1:5" ht="15.75">
      <c r="A87" s="8">
        <v>69</v>
      </c>
      <c r="B87" s="1" t="s">
        <v>67</v>
      </c>
      <c r="C87" s="9">
        <v>25.2</v>
      </c>
      <c r="D87" s="13" t="s">
        <v>238</v>
      </c>
      <c r="E87" s="1"/>
    </row>
    <row r="88" spans="2:5" ht="15.75">
      <c r="B88" s="338" t="s">
        <v>68</v>
      </c>
      <c r="C88" s="339"/>
      <c r="D88" s="339"/>
      <c r="E88" s="340"/>
    </row>
    <row r="89" spans="1:5" ht="15.75">
      <c r="A89" s="8">
        <v>70</v>
      </c>
      <c r="B89" s="1" t="s">
        <v>958</v>
      </c>
      <c r="C89" s="9">
        <v>14</v>
      </c>
      <c r="D89" s="13" t="s">
        <v>238</v>
      </c>
      <c r="E89" s="1"/>
    </row>
    <row r="90" spans="1:5" ht="15.75">
      <c r="A90" s="8">
        <v>71</v>
      </c>
      <c r="B90" s="1" t="s">
        <v>959</v>
      </c>
      <c r="C90" s="9">
        <v>35.4</v>
      </c>
      <c r="D90" s="13" t="s">
        <v>238</v>
      </c>
      <c r="E90" s="1"/>
    </row>
    <row r="91" spans="1:5" ht="15.75">
      <c r="A91" s="8">
        <v>72</v>
      </c>
      <c r="B91" s="1" t="s">
        <v>960</v>
      </c>
      <c r="C91" s="9">
        <v>35.4</v>
      </c>
      <c r="D91" s="13" t="s">
        <v>238</v>
      </c>
      <c r="E91" s="1"/>
    </row>
    <row r="92" spans="1:5" ht="15.75">
      <c r="A92" s="8">
        <v>73</v>
      </c>
      <c r="B92" s="1" t="s">
        <v>961</v>
      </c>
      <c r="C92" s="9">
        <v>39.2</v>
      </c>
      <c r="D92" s="13" t="s">
        <v>238</v>
      </c>
      <c r="E92" s="1"/>
    </row>
    <row r="93" spans="2:5" ht="15.75">
      <c r="B93" s="338" t="s">
        <v>626</v>
      </c>
      <c r="C93" s="339"/>
      <c r="D93" s="339"/>
      <c r="E93" s="340"/>
    </row>
    <row r="94" spans="1:5" ht="15.75">
      <c r="A94" s="8">
        <v>74</v>
      </c>
      <c r="B94" s="1" t="s">
        <v>962</v>
      </c>
      <c r="C94" s="9">
        <v>40.9</v>
      </c>
      <c r="D94" s="13" t="s">
        <v>238</v>
      </c>
      <c r="E94" s="368" t="s">
        <v>977</v>
      </c>
    </row>
    <row r="95" spans="1:6" s="273" customFormat="1" ht="15.75">
      <c r="A95" s="273">
        <v>75</v>
      </c>
      <c r="B95" s="274" t="s">
        <v>963</v>
      </c>
      <c r="C95" s="275">
        <v>12</v>
      </c>
      <c r="D95" s="34" t="s">
        <v>238</v>
      </c>
      <c r="E95" s="343"/>
      <c r="F95" s="273" t="s">
        <v>874</v>
      </c>
    </row>
    <row r="96" spans="1:5" ht="15.75">
      <c r="A96" s="8">
        <v>76</v>
      </c>
      <c r="B96" s="1" t="s">
        <v>964</v>
      </c>
      <c r="C96" s="9">
        <v>19.4</v>
      </c>
      <c r="D96" s="13" t="s">
        <v>238</v>
      </c>
      <c r="E96" s="1" t="s">
        <v>965</v>
      </c>
    </row>
    <row r="97" spans="1:7" ht="15.75">
      <c r="A97" s="8">
        <v>77</v>
      </c>
      <c r="B97" s="1" t="s">
        <v>966</v>
      </c>
      <c r="C97" s="9">
        <v>32.9</v>
      </c>
      <c r="D97" s="13" t="s">
        <v>238</v>
      </c>
      <c r="E97" s="1" t="s">
        <v>965</v>
      </c>
      <c r="G97" s="8">
        <f>SUM(C94:C97)</f>
        <v>105.19999999999999</v>
      </c>
    </row>
    <row r="98" spans="2:5" ht="15.75">
      <c r="B98" s="338" t="s">
        <v>69</v>
      </c>
      <c r="C98" s="339"/>
      <c r="D98" s="339"/>
      <c r="E98" s="340"/>
    </row>
    <row r="99" spans="1:5" ht="15.75">
      <c r="A99" s="8">
        <v>78</v>
      </c>
      <c r="B99" s="1" t="s">
        <v>70</v>
      </c>
      <c r="C99" s="9">
        <v>45.5</v>
      </c>
      <c r="D99" s="13" t="s">
        <v>238</v>
      </c>
      <c r="E99" s="1"/>
    </row>
    <row r="100" spans="1:5" ht="31.5">
      <c r="A100" s="8">
        <v>79</v>
      </c>
      <c r="B100" s="1" t="s">
        <v>71</v>
      </c>
      <c r="C100" s="9">
        <v>26.9</v>
      </c>
      <c r="D100" s="13" t="s">
        <v>948</v>
      </c>
      <c r="E100" s="1" t="s">
        <v>965</v>
      </c>
    </row>
    <row r="101" spans="1:5" ht="15.75">
      <c r="A101" s="8">
        <v>80</v>
      </c>
      <c r="B101" s="1" t="s">
        <v>72</v>
      </c>
      <c r="C101" s="9">
        <v>33.9</v>
      </c>
      <c r="D101" s="13" t="s">
        <v>240</v>
      </c>
      <c r="E101" s="1"/>
    </row>
    <row r="102" spans="2:5" ht="15.75">
      <c r="B102" s="338" t="s">
        <v>764</v>
      </c>
      <c r="C102" s="339"/>
      <c r="D102" s="339"/>
      <c r="E102" s="340"/>
    </row>
    <row r="103" spans="1:5" ht="15.75">
      <c r="A103" s="8">
        <v>81</v>
      </c>
      <c r="B103" s="1" t="s">
        <v>73</v>
      </c>
      <c r="C103" s="9">
        <v>12</v>
      </c>
      <c r="D103" s="13" t="s">
        <v>238</v>
      </c>
      <c r="E103" s="1"/>
    </row>
    <row r="104" spans="1:5" ht="15.75">
      <c r="A104" s="8">
        <v>82</v>
      </c>
      <c r="B104" s="1" t="s">
        <v>74</v>
      </c>
      <c r="C104" s="9">
        <v>30.1</v>
      </c>
      <c r="D104" s="13" t="s">
        <v>238</v>
      </c>
      <c r="E104" s="1"/>
    </row>
    <row r="105" spans="1:5" ht="15.75">
      <c r="A105" s="8">
        <v>83</v>
      </c>
      <c r="B105" s="1" t="s">
        <v>75</v>
      </c>
      <c r="C105" s="9">
        <v>22.2</v>
      </c>
      <c r="D105" s="13" t="s">
        <v>238</v>
      </c>
      <c r="E105" s="1"/>
    </row>
    <row r="106" spans="2:5" ht="15.75">
      <c r="B106" s="338" t="s">
        <v>76</v>
      </c>
      <c r="C106" s="339"/>
      <c r="D106" s="339"/>
      <c r="E106" s="340"/>
    </row>
    <row r="107" spans="1:5" ht="31.5">
      <c r="A107" s="8">
        <v>84</v>
      </c>
      <c r="B107" s="1" t="s">
        <v>242</v>
      </c>
      <c r="C107" s="9">
        <v>50.9</v>
      </c>
      <c r="D107" s="13" t="s">
        <v>948</v>
      </c>
      <c r="E107" s="1"/>
    </row>
    <row r="108" spans="1:5" ht="31.5">
      <c r="A108" s="8">
        <v>85</v>
      </c>
      <c r="B108" s="1" t="s">
        <v>243</v>
      </c>
      <c r="C108" s="9">
        <v>55.9</v>
      </c>
      <c r="D108" s="13" t="s">
        <v>948</v>
      </c>
      <c r="E108" s="1"/>
    </row>
    <row r="109" spans="1:5" ht="31.5">
      <c r="A109" s="8">
        <v>86</v>
      </c>
      <c r="B109" s="1" t="s">
        <v>244</v>
      </c>
      <c r="C109" s="9">
        <v>49.7</v>
      </c>
      <c r="D109" s="13" t="s">
        <v>948</v>
      </c>
      <c r="E109" s="1"/>
    </row>
    <row r="110" spans="1:5" ht="31.5">
      <c r="A110" s="8">
        <v>87</v>
      </c>
      <c r="B110" s="1" t="s">
        <v>245</v>
      </c>
      <c r="C110" s="9">
        <v>33</v>
      </c>
      <c r="D110" s="13" t="s">
        <v>948</v>
      </c>
      <c r="E110" s="1"/>
    </row>
    <row r="111" spans="1:5" ht="15.75">
      <c r="A111" s="8">
        <v>88</v>
      </c>
      <c r="B111" s="1" t="s">
        <v>344</v>
      </c>
      <c r="C111" s="9">
        <v>10.6</v>
      </c>
      <c r="D111" s="13" t="s">
        <v>238</v>
      </c>
      <c r="E111" s="1"/>
    </row>
    <row r="112" spans="2:5" ht="15.75">
      <c r="B112" s="338" t="s">
        <v>78</v>
      </c>
      <c r="C112" s="339"/>
      <c r="D112" s="339"/>
      <c r="E112" s="340"/>
    </row>
    <row r="113" spans="1:6" ht="15.75">
      <c r="A113" s="8">
        <v>89</v>
      </c>
      <c r="B113" s="1" t="s">
        <v>79</v>
      </c>
      <c r="C113" s="9">
        <v>30</v>
      </c>
      <c r="D113" s="13" t="s">
        <v>238</v>
      </c>
      <c r="E113" s="1"/>
      <c r="F113" s="8">
        <v>2019</v>
      </c>
    </row>
    <row r="114" spans="1:5" ht="15.75">
      <c r="A114" s="8">
        <v>90</v>
      </c>
      <c r="B114" s="1" t="s">
        <v>80</v>
      </c>
      <c r="C114" s="9">
        <v>53.9</v>
      </c>
      <c r="D114" s="13" t="s">
        <v>238</v>
      </c>
      <c r="E114" s="1"/>
    </row>
    <row r="115" spans="1:6" ht="15.75">
      <c r="A115" s="8">
        <v>91</v>
      </c>
      <c r="B115" s="1" t="s">
        <v>81</v>
      </c>
      <c r="C115" s="9">
        <v>47.4</v>
      </c>
      <c r="D115" s="13" t="s">
        <v>238</v>
      </c>
      <c r="E115" s="1"/>
      <c r="F115" s="8">
        <v>2019</v>
      </c>
    </row>
    <row r="116" spans="1:6" ht="15.75">
      <c r="A116" s="8">
        <v>92</v>
      </c>
      <c r="B116" s="1" t="s">
        <v>54</v>
      </c>
      <c r="C116" s="9">
        <v>30</v>
      </c>
      <c r="D116" s="13" t="s">
        <v>238</v>
      </c>
      <c r="E116" s="1"/>
      <c r="F116" s="8">
        <v>2019</v>
      </c>
    </row>
    <row r="117" spans="1:5" ht="15.75">
      <c r="A117" s="8">
        <v>93</v>
      </c>
      <c r="B117" s="1" t="s">
        <v>967</v>
      </c>
      <c r="C117" s="9">
        <v>38.9</v>
      </c>
      <c r="D117" s="13" t="s">
        <v>238</v>
      </c>
      <c r="E117" s="1" t="s">
        <v>965</v>
      </c>
    </row>
    <row r="118" spans="1:5" ht="31.5">
      <c r="A118" s="8">
        <v>94</v>
      </c>
      <c r="B118" s="1" t="s">
        <v>82</v>
      </c>
      <c r="C118" s="9">
        <v>79.8</v>
      </c>
      <c r="D118" s="13" t="s">
        <v>948</v>
      </c>
      <c r="E118" s="1"/>
    </row>
    <row r="119" spans="1:5" ht="15.75">
      <c r="A119" s="8">
        <v>95</v>
      </c>
      <c r="B119" s="1" t="s">
        <v>83</v>
      </c>
      <c r="C119" s="9">
        <v>32.5</v>
      </c>
      <c r="D119" s="13" t="s">
        <v>238</v>
      </c>
      <c r="E119" s="1" t="s">
        <v>965</v>
      </c>
    </row>
    <row r="120" spans="1:5" ht="15.75">
      <c r="A120" s="8">
        <v>96</v>
      </c>
      <c r="B120" s="1" t="s">
        <v>246</v>
      </c>
      <c r="C120" s="9">
        <v>30.1</v>
      </c>
      <c r="D120" s="13" t="s">
        <v>238</v>
      </c>
      <c r="E120" s="1"/>
    </row>
    <row r="121" spans="1:5" ht="15.75">
      <c r="A121" s="8">
        <v>97</v>
      </c>
      <c r="B121" s="1" t="s">
        <v>968</v>
      </c>
      <c r="C121" s="9">
        <v>16.2</v>
      </c>
      <c r="D121" s="13" t="s">
        <v>238</v>
      </c>
      <c r="E121" s="1" t="s">
        <v>965</v>
      </c>
    </row>
    <row r="122" spans="2:5" ht="15.75">
      <c r="B122" s="338" t="s">
        <v>86</v>
      </c>
      <c r="C122" s="339"/>
      <c r="D122" s="339"/>
      <c r="E122" s="340"/>
    </row>
    <row r="123" spans="1:5" ht="15.75">
      <c r="A123" s="8">
        <v>98</v>
      </c>
      <c r="B123" s="1" t="s">
        <v>969</v>
      </c>
      <c r="C123" s="9">
        <v>11.7</v>
      </c>
      <c r="D123" s="13" t="s">
        <v>240</v>
      </c>
      <c r="E123" s="1"/>
    </row>
    <row r="124" spans="1:5" ht="15.75">
      <c r="A124" s="8">
        <v>99</v>
      </c>
      <c r="B124" s="1" t="s">
        <v>87</v>
      </c>
      <c r="C124" s="9">
        <v>26.1</v>
      </c>
      <c r="D124" s="13" t="s">
        <v>238</v>
      </c>
      <c r="E124" s="1"/>
    </row>
    <row r="125" spans="2:5" ht="15.75">
      <c r="B125" s="338" t="s">
        <v>88</v>
      </c>
      <c r="C125" s="339"/>
      <c r="D125" s="339"/>
      <c r="E125" s="340"/>
    </row>
    <row r="126" spans="1:5" ht="15.75">
      <c r="A126" s="8">
        <v>100</v>
      </c>
      <c r="B126" s="1" t="s">
        <v>695</v>
      </c>
      <c r="C126" s="9">
        <v>9</v>
      </c>
      <c r="D126" s="13" t="s">
        <v>240</v>
      </c>
      <c r="E126" s="1"/>
    </row>
    <row r="127" spans="2:5" ht="15.75">
      <c r="B127" s="363" t="s">
        <v>970</v>
      </c>
      <c r="C127" s="364"/>
      <c r="D127" s="364"/>
      <c r="E127" s="365"/>
    </row>
    <row r="128" spans="1:5" ht="15.75">
      <c r="A128" s="8">
        <v>101</v>
      </c>
      <c r="B128" s="1" t="s">
        <v>6</v>
      </c>
      <c r="C128" s="9">
        <v>11.1</v>
      </c>
      <c r="D128" s="13" t="s">
        <v>238</v>
      </c>
      <c r="E128" s="1"/>
    </row>
    <row r="129" spans="2:5" ht="15.75">
      <c r="B129" s="338" t="s">
        <v>89</v>
      </c>
      <c r="C129" s="339"/>
      <c r="D129" s="339"/>
      <c r="E129" s="340"/>
    </row>
    <row r="130" spans="1:5" ht="15.75">
      <c r="A130" s="8">
        <v>102</v>
      </c>
      <c r="B130" s="1" t="s">
        <v>90</v>
      </c>
      <c r="C130" s="9"/>
      <c r="D130" s="13"/>
      <c r="E130" s="1"/>
    </row>
    <row r="131" spans="1:5" ht="15.75">
      <c r="A131" s="8">
        <v>103</v>
      </c>
      <c r="B131" s="1" t="s">
        <v>91</v>
      </c>
      <c r="C131" s="9"/>
      <c r="D131" s="13"/>
      <c r="E131" s="1"/>
    </row>
    <row r="132" spans="2:5" ht="13.5">
      <c r="B132" s="348" t="s">
        <v>971</v>
      </c>
      <c r="C132" s="349"/>
      <c r="D132" s="349"/>
      <c r="E132" s="350"/>
    </row>
    <row r="133" spans="1:6" ht="15.75">
      <c r="A133" s="8">
        <v>104</v>
      </c>
      <c r="B133" s="1" t="s">
        <v>7</v>
      </c>
      <c r="C133" s="9">
        <v>34</v>
      </c>
      <c r="D133" s="13" t="s">
        <v>238</v>
      </c>
      <c r="E133" s="1"/>
      <c r="F133" s="8" t="s">
        <v>972</v>
      </c>
    </row>
    <row r="134" spans="2:5" ht="15.75">
      <c r="B134" s="338" t="s">
        <v>92</v>
      </c>
      <c r="C134" s="339"/>
      <c r="D134" s="339"/>
      <c r="E134" s="340"/>
    </row>
    <row r="135" spans="1:5" ht="15.75">
      <c r="A135" s="8">
        <v>105</v>
      </c>
      <c r="B135" s="1" t="s">
        <v>93</v>
      </c>
      <c r="C135" s="9"/>
      <c r="D135" s="13"/>
      <c r="E135" s="1"/>
    </row>
    <row r="136" spans="2:5" ht="15.75">
      <c r="B136" s="338" t="s">
        <v>268</v>
      </c>
      <c r="C136" s="339"/>
      <c r="D136" s="339"/>
      <c r="E136" s="340"/>
    </row>
    <row r="137" spans="1:6" ht="15.75">
      <c r="A137" s="8">
        <v>106</v>
      </c>
      <c r="B137" s="1" t="s">
        <v>96</v>
      </c>
      <c r="C137" s="9">
        <v>34</v>
      </c>
      <c r="D137" s="13" t="s">
        <v>238</v>
      </c>
      <c r="E137" s="357" t="s">
        <v>1022</v>
      </c>
      <c r="F137" s="8" t="s">
        <v>972</v>
      </c>
    </row>
    <row r="138" spans="1:6" ht="15.75">
      <c r="A138" s="8">
        <v>107</v>
      </c>
      <c r="B138" s="1" t="s">
        <v>97</v>
      </c>
      <c r="C138" s="9">
        <v>34</v>
      </c>
      <c r="D138" s="13" t="s">
        <v>238</v>
      </c>
      <c r="E138" s="358"/>
      <c r="F138" s="8" t="s">
        <v>972</v>
      </c>
    </row>
    <row r="139" spans="1:5" ht="31.5">
      <c r="A139" s="8">
        <v>108</v>
      </c>
      <c r="B139" s="1" t="s">
        <v>284</v>
      </c>
      <c r="C139" s="9">
        <v>71.2</v>
      </c>
      <c r="D139" s="13" t="s">
        <v>948</v>
      </c>
      <c r="E139" s="358"/>
    </row>
    <row r="140" spans="1:5" ht="31.5">
      <c r="A140" s="8">
        <v>109</v>
      </c>
      <c r="B140" s="1" t="s">
        <v>285</v>
      </c>
      <c r="C140" s="9">
        <v>48.9</v>
      </c>
      <c r="D140" s="13" t="s">
        <v>948</v>
      </c>
      <c r="E140" s="358"/>
    </row>
    <row r="141" spans="1:5" ht="31.5">
      <c r="A141" s="8">
        <v>110</v>
      </c>
      <c r="B141" s="1" t="s">
        <v>250</v>
      </c>
      <c r="C141" s="9">
        <v>35.6</v>
      </c>
      <c r="D141" s="13" t="s">
        <v>948</v>
      </c>
      <c r="E141" s="358"/>
    </row>
    <row r="142" spans="1:5" ht="31.5">
      <c r="A142" s="8">
        <v>111</v>
      </c>
      <c r="B142" s="1" t="s">
        <v>251</v>
      </c>
      <c r="C142" s="9">
        <v>58.1</v>
      </c>
      <c r="D142" s="13" t="s">
        <v>948</v>
      </c>
      <c r="E142" s="358"/>
    </row>
    <row r="143" spans="1:5" ht="31.5">
      <c r="A143" s="8">
        <v>112</v>
      </c>
      <c r="B143" s="1" t="s">
        <v>252</v>
      </c>
      <c r="C143" s="9">
        <v>136.8</v>
      </c>
      <c r="D143" s="13" t="s">
        <v>948</v>
      </c>
      <c r="E143" s="358"/>
    </row>
    <row r="144" spans="1:6" ht="31.5">
      <c r="A144" s="8">
        <v>113</v>
      </c>
      <c r="B144" s="1" t="s">
        <v>253</v>
      </c>
      <c r="C144" s="9">
        <v>72.8</v>
      </c>
      <c r="D144" s="13" t="s">
        <v>1153</v>
      </c>
      <c r="E144" s="358"/>
      <c r="F144" s="8" t="s">
        <v>972</v>
      </c>
    </row>
    <row r="145" spans="1:5" ht="31.5">
      <c r="A145" s="8">
        <v>114</v>
      </c>
      <c r="B145" s="1" t="s">
        <v>254</v>
      </c>
      <c r="C145" s="9">
        <v>82.6</v>
      </c>
      <c r="D145" s="13" t="s">
        <v>973</v>
      </c>
      <c r="E145" s="358"/>
    </row>
    <row r="146" spans="1:5" ht="15.75">
      <c r="A146" s="8">
        <v>115</v>
      </c>
      <c r="B146" s="1" t="s">
        <v>255</v>
      </c>
      <c r="C146" s="9">
        <v>82.8</v>
      </c>
      <c r="D146" s="13" t="s">
        <v>238</v>
      </c>
      <c r="E146" s="359"/>
    </row>
    <row r="147" spans="1:5" ht="15.75">
      <c r="A147" s="8">
        <v>116</v>
      </c>
      <c r="B147" s="1" t="s">
        <v>256</v>
      </c>
      <c r="C147" s="9">
        <v>27.8</v>
      </c>
      <c r="D147" s="13" t="s">
        <v>238</v>
      </c>
      <c r="E147" s="1" t="s">
        <v>965</v>
      </c>
    </row>
    <row r="148" spans="1:5" ht="15.75">
      <c r="A148" s="8">
        <v>117</v>
      </c>
      <c r="B148" s="1" t="s">
        <v>257</v>
      </c>
      <c r="C148" s="9">
        <v>16.3</v>
      </c>
      <c r="D148" s="13" t="s">
        <v>238</v>
      </c>
      <c r="E148" s="1" t="s">
        <v>965</v>
      </c>
    </row>
    <row r="149" spans="1:6" ht="15.75">
      <c r="A149" s="8">
        <v>118</v>
      </c>
      <c r="B149" s="1" t="s">
        <v>258</v>
      </c>
      <c r="C149" s="9">
        <v>42</v>
      </c>
      <c r="D149" s="13" t="s">
        <v>238</v>
      </c>
      <c r="E149" s="357" t="s">
        <v>1094</v>
      </c>
      <c r="F149" s="8" t="s">
        <v>874</v>
      </c>
    </row>
    <row r="150" spans="1:5" ht="15.75">
      <c r="A150" s="8">
        <v>119</v>
      </c>
      <c r="B150" s="1" t="s">
        <v>259</v>
      </c>
      <c r="C150" s="9">
        <v>69.2</v>
      </c>
      <c r="D150" s="13" t="s">
        <v>240</v>
      </c>
      <c r="E150" s="358"/>
    </row>
    <row r="151" spans="1:5" ht="15.75">
      <c r="A151" s="8">
        <v>120</v>
      </c>
      <c r="B151" s="1" t="s">
        <v>260</v>
      </c>
      <c r="C151" s="9">
        <v>28.7</v>
      </c>
      <c r="D151" s="13" t="s">
        <v>238</v>
      </c>
      <c r="E151" s="358"/>
    </row>
    <row r="152" spans="1:5" ht="15.75">
      <c r="A152" s="8">
        <v>121</v>
      </c>
      <c r="B152" s="1" t="s">
        <v>261</v>
      </c>
      <c r="C152" s="9">
        <v>18.3</v>
      </c>
      <c r="D152" s="13" t="s">
        <v>238</v>
      </c>
      <c r="E152" s="358"/>
    </row>
    <row r="153" spans="1:5" ht="15.75">
      <c r="A153" s="8">
        <v>122</v>
      </c>
      <c r="B153" s="1" t="s">
        <v>262</v>
      </c>
      <c r="C153" s="9">
        <v>36.3</v>
      </c>
      <c r="D153" s="13" t="s">
        <v>238</v>
      </c>
      <c r="E153" s="358"/>
    </row>
    <row r="154" spans="1:5" ht="15.75">
      <c r="A154" s="8">
        <v>123</v>
      </c>
      <c r="B154" s="1" t="s">
        <v>781</v>
      </c>
      <c r="C154" s="9">
        <v>58.4</v>
      </c>
      <c r="D154" s="13" t="s">
        <v>238</v>
      </c>
      <c r="E154" s="358"/>
    </row>
    <row r="155" spans="1:5" ht="15.75">
      <c r="A155" s="8">
        <v>124</v>
      </c>
      <c r="B155" s="1" t="s">
        <v>263</v>
      </c>
      <c r="C155" s="9">
        <v>43.8</v>
      </c>
      <c r="D155" s="13" t="s">
        <v>240</v>
      </c>
      <c r="E155" s="358"/>
    </row>
    <row r="156" spans="1:5" ht="15.75">
      <c r="A156" s="8">
        <v>125</v>
      </c>
      <c r="B156" s="1" t="s">
        <v>264</v>
      </c>
      <c r="C156" s="9">
        <v>20</v>
      </c>
      <c r="D156" s="13" t="s">
        <v>238</v>
      </c>
      <c r="E156" s="358"/>
    </row>
    <row r="157" spans="1:5" ht="15.75">
      <c r="A157" s="8">
        <v>126</v>
      </c>
      <c r="B157" s="1" t="s">
        <v>265</v>
      </c>
      <c r="C157" s="9">
        <v>40</v>
      </c>
      <c r="D157" s="13" t="s">
        <v>238</v>
      </c>
      <c r="E157" s="358"/>
    </row>
    <row r="158" spans="1:7" ht="15.75">
      <c r="A158" s="8">
        <v>127</v>
      </c>
      <c r="B158" s="1" t="s">
        <v>266</v>
      </c>
      <c r="C158" s="9">
        <v>12</v>
      </c>
      <c r="D158" s="13" t="s">
        <v>238</v>
      </c>
      <c r="E158" s="359"/>
      <c r="G158" s="8">
        <f>SUM(C137:C158)</f>
        <v>1069.6</v>
      </c>
    </row>
    <row r="159" spans="1:5" ht="15.75">
      <c r="A159" s="8">
        <v>128</v>
      </c>
      <c r="B159" s="1" t="s">
        <v>1020</v>
      </c>
      <c r="C159" s="9">
        <v>12</v>
      </c>
      <c r="D159" s="13" t="s">
        <v>238</v>
      </c>
      <c r="E159" s="1" t="s">
        <v>974</v>
      </c>
    </row>
    <row r="160" spans="1:5" ht="15.75">
      <c r="A160" s="8">
        <v>129</v>
      </c>
      <c r="B160" s="1" t="s">
        <v>1021</v>
      </c>
      <c r="C160" s="9">
        <v>9</v>
      </c>
      <c r="D160" s="13" t="s">
        <v>240</v>
      </c>
      <c r="E160" s="1" t="s">
        <v>974</v>
      </c>
    </row>
    <row r="161" spans="2:5" ht="15.75">
      <c r="B161" s="338" t="s">
        <v>976</v>
      </c>
      <c r="C161" s="339"/>
      <c r="D161" s="339"/>
      <c r="E161" s="340"/>
    </row>
    <row r="162" spans="1:5" ht="15.75">
      <c r="A162" s="8">
        <v>130</v>
      </c>
      <c r="B162" s="250" t="s">
        <v>975</v>
      </c>
      <c r="C162" s="249">
        <v>32.4</v>
      </c>
      <c r="D162" s="249" t="s">
        <v>238</v>
      </c>
      <c r="E162" s="351" t="s">
        <v>977</v>
      </c>
    </row>
    <row r="163" spans="1:5" ht="15.75">
      <c r="A163" s="8">
        <v>131</v>
      </c>
      <c r="B163" s="1" t="s">
        <v>99</v>
      </c>
      <c r="C163" s="9">
        <v>36</v>
      </c>
      <c r="D163" s="13" t="s">
        <v>238</v>
      </c>
      <c r="E163" s="352"/>
    </row>
    <row r="164" spans="1:5" ht="15.75">
      <c r="A164" s="8">
        <v>132</v>
      </c>
      <c r="B164" s="1" t="s">
        <v>100</v>
      </c>
      <c r="C164" s="9">
        <v>27</v>
      </c>
      <c r="D164" s="13" t="s">
        <v>240</v>
      </c>
      <c r="E164" s="352"/>
    </row>
    <row r="165" spans="1:5" ht="15.75">
      <c r="A165" s="8">
        <v>133</v>
      </c>
      <c r="B165" s="1" t="s">
        <v>101</v>
      </c>
      <c r="C165" s="9">
        <v>45.6</v>
      </c>
      <c r="D165" s="13" t="s">
        <v>238</v>
      </c>
      <c r="E165" s="352"/>
    </row>
    <row r="166" spans="1:5" ht="15.75">
      <c r="A166" s="8">
        <v>134</v>
      </c>
      <c r="B166" s="1" t="s">
        <v>102</v>
      </c>
      <c r="C166" s="9">
        <v>32</v>
      </c>
      <c r="D166" s="13" t="s">
        <v>238</v>
      </c>
      <c r="E166" s="352"/>
    </row>
    <row r="167" spans="1:5" ht="15.75">
      <c r="A167" s="8">
        <v>135</v>
      </c>
      <c r="B167" s="1" t="s">
        <v>103</v>
      </c>
      <c r="C167" s="9">
        <v>9.4</v>
      </c>
      <c r="D167" s="13" t="s">
        <v>238</v>
      </c>
      <c r="E167" s="352"/>
    </row>
    <row r="168" spans="1:5" ht="15.75">
      <c r="A168" s="8">
        <v>136</v>
      </c>
      <c r="B168" s="1" t="s">
        <v>104</v>
      </c>
      <c r="C168" s="9">
        <v>25.2</v>
      </c>
      <c r="D168" s="13" t="s">
        <v>238</v>
      </c>
      <c r="E168" s="352"/>
    </row>
    <row r="169" spans="1:5" ht="15.75">
      <c r="A169" s="8">
        <v>137</v>
      </c>
      <c r="B169" s="1" t="s">
        <v>105</v>
      </c>
      <c r="C169" s="9">
        <v>51.2</v>
      </c>
      <c r="D169" s="13" t="s">
        <v>238</v>
      </c>
      <c r="E169" s="352"/>
    </row>
    <row r="170" spans="1:5" ht="15.75">
      <c r="A170" s="8">
        <v>138</v>
      </c>
      <c r="B170" s="1" t="s">
        <v>106</v>
      </c>
      <c r="C170" s="9">
        <v>8.3</v>
      </c>
      <c r="D170" s="13" t="s">
        <v>240</v>
      </c>
      <c r="E170" s="352"/>
    </row>
    <row r="171" spans="1:5" ht="15.75">
      <c r="A171" s="8">
        <v>139</v>
      </c>
      <c r="B171" s="1" t="s">
        <v>107</v>
      </c>
      <c r="C171" s="9">
        <v>34.5</v>
      </c>
      <c r="D171" s="13" t="s">
        <v>238</v>
      </c>
      <c r="E171" s="352"/>
    </row>
    <row r="172" spans="1:5" ht="15.75">
      <c r="A172" s="8">
        <v>140</v>
      </c>
      <c r="B172" s="1" t="s">
        <v>108</v>
      </c>
      <c r="C172" s="9">
        <v>6.6</v>
      </c>
      <c r="D172" s="13" t="s">
        <v>238</v>
      </c>
      <c r="E172" s="352"/>
    </row>
    <row r="173" spans="1:5" ht="15.75">
      <c r="A173" s="8">
        <v>141</v>
      </c>
      <c r="B173" s="1" t="s">
        <v>109</v>
      </c>
      <c r="C173" s="9">
        <v>19.1</v>
      </c>
      <c r="D173" s="13" t="s">
        <v>238</v>
      </c>
      <c r="E173" s="352"/>
    </row>
    <row r="174" spans="1:5" ht="15.75">
      <c r="A174" s="8">
        <v>142</v>
      </c>
      <c r="B174" s="1" t="s">
        <v>110</v>
      </c>
      <c r="C174" s="9">
        <v>12</v>
      </c>
      <c r="D174" s="13" t="s">
        <v>238</v>
      </c>
      <c r="E174" s="352"/>
    </row>
    <row r="175" spans="1:5" ht="15.75">
      <c r="A175" s="8">
        <v>143</v>
      </c>
      <c r="B175" s="1" t="s">
        <v>111</v>
      </c>
      <c r="C175" s="9">
        <v>32.6</v>
      </c>
      <c r="D175" s="13" t="s">
        <v>238</v>
      </c>
      <c r="E175" s="352"/>
    </row>
    <row r="176" spans="1:5" ht="15.75">
      <c r="A176" s="8">
        <v>144</v>
      </c>
      <c r="B176" s="1" t="s">
        <v>112</v>
      </c>
      <c r="C176" s="9">
        <v>13.1</v>
      </c>
      <c r="D176" s="13" t="s">
        <v>238</v>
      </c>
      <c r="E176" s="353"/>
    </row>
    <row r="177" spans="2:5" ht="15.75">
      <c r="B177" s="338" t="s">
        <v>122</v>
      </c>
      <c r="C177" s="339"/>
      <c r="D177" s="339"/>
      <c r="E177" s="340"/>
    </row>
    <row r="178" spans="1:5" ht="15.75">
      <c r="A178" s="8">
        <v>145</v>
      </c>
      <c r="B178" s="1" t="s">
        <v>123</v>
      </c>
      <c r="C178" s="9">
        <v>18.1</v>
      </c>
      <c r="D178" s="13" t="s">
        <v>240</v>
      </c>
      <c r="E178" s="1"/>
    </row>
    <row r="179" spans="1:5" ht="15.75">
      <c r="A179" s="8">
        <v>146</v>
      </c>
      <c r="B179" s="1" t="s">
        <v>124</v>
      </c>
      <c r="C179" s="9">
        <v>18</v>
      </c>
      <c r="D179" s="13" t="s">
        <v>240</v>
      </c>
      <c r="E179" s="1"/>
    </row>
    <row r="180" spans="1:5" ht="15.75">
      <c r="A180" s="8">
        <v>147</v>
      </c>
      <c r="B180" s="1" t="s">
        <v>125</v>
      </c>
      <c r="C180" s="9">
        <v>16.4</v>
      </c>
      <c r="D180" s="13" t="s">
        <v>238</v>
      </c>
      <c r="E180" s="1"/>
    </row>
    <row r="181" spans="1:5" ht="15.75">
      <c r="A181" s="8">
        <v>148</v>
      </c>
      <c r="B181" s="1" t="s">
        <v>126</v>
      </c>
      <c r="C181" s="9">
        <v>18</v>
      </c>
      <c r="D181" s="13" t="s">
        <v>240</v>
      </c>
      <c r="E181" s="1"/>
    </row>
    <row r="182" spans="2:5" ht="15.75">
      <c r="B182" s="338" t="s">
        <v>127</v>
      </c>
      <c r="C182" s="339"/>
      <c r="D182" s="339"/>
      <c r="E182" s="340"/>
    </row>
    <row r="183" spans="1:5" ht="15.75">
      <c r="A183" s="8">
        <v>149</v>
      </c>
      <c r="B183" s="1" t="s">
        <v>128</v>
      </c>
      <c r="C183" s="9"/>
      <c r="D183" s="13"/>
      <c r="E183" s="1"/>
    </row>
    <row r="184" spans="1:5" ht="15.75">
      <c r="A184" s="8">
        <v>150</v>
      </c>
      <c r="B184" s="1" t="s">
        <v>129</v>
      </c>
      <c r="C184" s="9"/>
      <c r="D184" s="13"/>
      <c r="E184" s="1"/>
    </row>
    <row r="185" spans="2:5" ht="15.75">
      <c r="B185" s="338" t="s">
        <v>130</v>
      </c>
      <c r="C185" s="339"/>
      <c r="D185" s="339"/>
      <c r="E185" s="340"/>
    </row>
    <row r="186" spans="1:5" ht="15.75">
      <c r="A186" s="8">
        <v>151</v>
      </c>
      <c r="B186" s="1" t="s">
        <v>131</v>
      </c>
      <c r="C186" s="9">
        <v>12</v>
      </c>
      <c r="D186" s="13" t="s">
        <v>240</v>
      </c>
      <c r="E186" s="1"/>
    </row>
    <row r="187" spans="1:5" ht="15.75">
      <c r="A187" s="8">
        <v>152</v>
      </c>
      <c r="B187" s="1" t="s">
        <v>41</v>
      </c>
      <c r="C187" s="9"/>
      <c r="D187" s="13"/>
      <c r="E187" s="1"/>
    </row>
    <row r="188" spans="1:5" ht="15.75">
      <c r="A188" s="8">
        <v>153</v>
      </c>
      <c r="B188" s="1" t="s">
        <v>978</v>
      </c>
      <c r="C188" s="9">
        <v>30.4</v>
      </c>
      <c r="D188" s="13" t="s">
        <v>238</v>
      </c>
      <c r="E188" s="1"/>
    </row>
    <row r="189" spans="2:5" ht="15.75">
      <c r="B189" s="338" t="s">
        <v>1080</v>
      </c>
      <c r="C189" s="339"/>
      <c r="D189" s="339"/>
      <c r="E189" s="340"/>
    </row>
    <row r="190" spans="1:6" ht="15.75">
      <c r="A190" s="8">
        <v>154</v>
      </c>
      <c r="B190" s="1" t="s">
        <v>1081</v>
      </c>
      <c r="C190" s="9">
        <v>8.4</v>
      </c>
      <c r="D190" s="13" t="s">
        <v>240</v>
      </c>
      <c r="E190" s="1"/>
      <c r="F190" s="8">
        <v>2018</v>
      </c>
    </row>
    <row r="191" spans="1:5" ht="15.75">
      <c r="A191" s="8">
        <v>155</v>
      </c>
      <c r="B191" s="1" t="s">
        <v>1082</v>
      </c>
      <c r="C191" s="9">
        <v>8.4</v>
      </c>
      <c r="D191" s="13" t="s">
        <v>240</v>
      </c>
      <c r="E191" s="1"/>
    </row>
    <row r="192" spans="1:5" ht="15.75">
      <c r="A192" s="8">
        <v>156</v>
      </c>
      <c r="B192" s="1" t="s">
        <v>1083</v>
      </c>
      <c r="C192" s="9"/>
      <c r="D192" s="13"/>
      <c r="E192" s="1"/>
    </row>
    <row r="193" spans="1:5" ht="15.75">
      <c r="A193" s="8">
        <v>157</v>
      </c>
      <c r="B193" s="1" t="s">
        <v>1084</v>
      </c>
      <c r="C193" s="9"/>
      <c r="D193" s="13"/>
      <c r="E193" s="1"/>
    </row>
    <row r="194" spans="2:5" ht="15.75">
      <c r="B194" s="338" t="s">
        <v>132</v>
      </c>
      <c r="C194" s="339"/>
      <c r="D194" s="339"/>
      <c r="E194" s="340"/>
    </row>
    <row r="195" spans="1:6" ht="15.75">
      <c r="A195" s="8">
        <v>158</v>
      </c>
      <c r="B195" s="1" t="s">
        <v>133</v>
      </c>
      <c r="C195" s="9">
        <v>22</v>
      </c>
      <c r="D195" s="13" t="s">
        <v>238</v>
      </c>
      <c r="E195" s="1"/>
      <c r="F195" s="8" t="s">
        <v>972</v>
      </c>
    </row>
    <row r="196" spans="1:5" ht="31.5">
      <c r="A196" s="8">
        <v>159</v>
      </c>
      <c r="B196" s="1" t="s">
        <v>134</v>
      </c>
      <c r="C196" s="9">
        <v>74.7</v>
      </c>
      <c r="D196" s="13" t="s">
        <v>979</v>
      </c>
      <c r="E196" s="1"/>
    </row>
    <row r="197" spans="1:5" ht="15.75">
      <c r="A197" s="8">
        <v>160</v>
      </c>
      <c r="B197" s="1" t="s">
        <v>980</v>
      </c>
      <c r="C197" s="9">
        <v>10</v>
      </c>
      <c r="D197" s="13" t="s">
        <v>238</v>
      </c>
      <c r="E197" s="1"/>
    </row>
    <row r="198" spans="1:5" ht="15.75">
      <c r="A198" s="8">
        <v>161</v>
      </c>
      <c r="B198" s="1" t="s">
        <v>135</v>
      </c>
      <c r="C198" s="9"/>
      <c r="D198" s="13"/>
      <c r="E198" s="1"/>
    </row>
    <row r="199" spans="1:5" ht="15.75">
      <c r="A199" s="8">
        <v>162</v>
      </c>
      <c r="B199" s="1" t="s">
        <v>136</v>
      </c>
      <c r="C199" s="9">
        <v>15</v>
      </c>
      <c r="D199" s="13" t="s">
        <v>238</v>
      </c>
      <c r="E199" s="1"/>
    </row>
    <row r="200" spans="1:5" ht="15.75">
      <c r="A200" s="8">
        <v>163</v>
      </c>
      <c r="B200" s="1" t="s">
        <v>137</v>
      </c>
      <c r="C200" s="9">
        <v>12</v>
      </c>
      <c r="D200" s="13" t="s">
        <v>238</v>
      </c>
      <c r="E200" s="1"/>
    </row>
    <row r="201" spans="2:5" ht="15.75">
      <c r="B201" s="338" t="s">
        <v>248</v>
      </c>
      <c r="C201" s="339"/>
      <c r="D201" s="339"/>
      <c r="E201" s="340"/>
    </row>
    <row r="202" spans="1:5" ht="15.75">
      <c r="A202" s="8">
        <v>164</v>
      </c>
      <c r="B202" s="1" t="s">
        <v>138</v>
      </c>
      <c r="C202" s="9"/>
      <c r="D202" s="13" t="s">
        <v>240</v>
      </c>
      <c r="E202" s="1" t="s">
        <v>981</v>
      </c>
    </row>
    <row r="203" spans="1:5" ht="15.75">
      <c r="A203" s="8">
        <v>165</v>
      </c>
      <c r="B203" s="2" t="s">
        <v>247</v>
      </c>
      <c r="C203" s="10"/>
      <c r="D203" s="247"/>
      <c r="E203" s="11"/>
    </row>
    <row r="204" spans="2:5" ht="15.75">
      <c r="B204" s="338" t="s">
        <v>139</v>
      </c>
      <c r="C204" s="339"/>
      <c r="D204" s="339"/>
      <c r="E204" s="340"/>
    </row>
    <row r="205" spans="1:5" ht="15.75">
      <c r="A205" s="8">
        <v>166</v>
      </c>
      <c r="B205" s="1" t="s">
        <v>140</v>
      </c>
      <c r="C205" s="9"/>
      <c r="D205" s="13"/>
      <c r="E205" s="1"/>
    </row>
    <row r="206" spans="2:5" ht="15.75">
      <c r="B206" s="338" t="s">
        <v>1090</v>
      </c>
      <c r="C206" s="339"/>
      <c r="D206" s="339"/>
      <c r="E206" s="340"/>
    </row>
    <row r="207" spans="1:5" ht="15.75">
      <c r="A207" s="8">
        <v>167</v>
      </c>
      <c r="B207" s="1" t="s">
        <v>1091</v>
      </c>
      <c r="C207" s="9"/>
      <c r="D207" s="13"/>
      <c r="E207" s="1"/>
    </row>
    <row r="208" spans="2:5" ht="15.75">
      <c r="B208" s="338" t="s">
        <v>141</v>
      </c>
      <c r="C208" s="339"/>
      <c r="D208" s="339"/>
      <c r="E208" s="340"/>
    </row>
    <row r="209" spans="1:6" ht="15.75">
      <c r="A209" s="8">
        <v>168</v>
      </c>
      <c r="B209" s="1" t="s">
        <v>77</v>
      </c>
      <c r="C209" s="9">
        <v>34</v>
      </c>
      <c r="D209" s="13" t="s">
        <v>238</v>
      </c>
      <c r="E209" s="1"/>
      <c r="F209" s="8">
        <v>2019</v>
      </c>
    </row>
    <row r="210" spans="1:5" ht="15.75">
      <c r="A210" s="8">
        <v>169</v>
      </c>
      <c r="B210" s="1" t="s">
        <v>142</v>
      </c>
      <c r="C210" s="9">
        <v>22.5</v>
      </c>
      <c r="D210" s="13" t="s">
        <v>240</v>
      </c>
      <c r="E210" s="1"/>
    </row>
    <row r="211" spans="1:5" ht="15.75">
      <c r="A211" s="8">
        <v>170</v>
      </c>
      <c r="B211" s="1" t="s">
        <v>143</v>
      </c>
      <c r="C211" s="9">
        <v>23</v>
      </c>
      <c r="D211" s="13" t="s">
        <v>240</v>
      </c>
      <c r="E211" s="1"/>
    </row>
    <row r="212" spans="2:5" ht="15.75">
      <c r="B212" s="338" t="s">
        <v>144</v>
      </c>
      <c r="C212" s="339"/>
      <c r="D212" s="339"/>
      <c r="E212" s="340"/>
    </row>
    <row r="213" spans="1:5" ht="15.75">
      <c r="A213" s="8">
        <v>171</v>
      </c>
      <c r="B213" s="1" t="s">
        <v>145</v>
      </c>
      <c r="C213" s="9">
        <v>19.8</v>
      </c>
      <c r="D213" s="13" t="s">
        <v>238</v>
      </c>
      <c r="E213" s="1" t="s">
        <v>965</v>
      </c>
    </row>
    <row r="214" spans="1:5" ht="15.75">
      <c r="A214" s="8">
        <v>172</v>
      </c>
      <c r="B214" s="1" t="s">
        <v>146</v>
      </c>
      <c r="C214" s="9">
        <v>15</v>
      </c>
      <c r="D214" s="13" t="s">
        <v>238</v>
      </c>
      <c r="E214" s="1"/>
    </row>
    <row r="215" spans="1:5" ht="15.75">
      <c r="A215" s="8">
        <v>173</v>
      </c>
      <c r="B215" s="1" t="s">
        <v>147</v>
      </c>
      <c r="C215" s="9">
        <v>17.4</v>
      </c>
      <c r="D215" s="13" t="s">
        <v>240</v>
      </c>
      <c r="E215" s="1"/>
    </row>
    <row r="216" spans="1:5" ht="15.75">
      <c r="A216" s="8">
        <v>174</v>
      </c>
      <c r="B216" s="1" t="s">
        <v>148</v>
      </c>
      <c r="C216" s="9">
        <v>17.4</v>
      </c>
      <c r="D216" s="13" t="s">
        <v>238</v>
      </c>
      <c r="E216" s="1"/>
    </row>
    <row r="217" spans="1:5" ht="15.75">
      <c r="A217" s="8">
        <v>175</v>
      </c>
      <c r="B217" s="1" t="s">
        <v>149</v>
      </c>
      <c r="C217" s="9">
        <v>16.2</v>
      </c>
      <c r="D217" s="13" t="s">
        <v>240</v>
      </c>
      <c r="E217" s="1"/>
    </row>
    <row r="218" spans="1:5" ht="15.75">
      <c r="A218" s="8">
        <v>176</v>
      </c>
      <c r="B218" s="1" t="s">
        <v>150</v>
      </c>
      <c r="C218" s="9">
        <v>18</v>
      </c>
      <c r="D218" s="13" t="s">
        <v>240</v>
      </c>
      <c r="E218" s="1"/>
    </row>
    <row r="219" spans="1:5" ht="15.75">
      <c r="A219" s="8">
        <v>177</v>
      </c>
      <c r="B219" s="1" t="s">
        <v>151</v>
      </c>
      <c r="C219" s="9"/>
      <c r="D219" s="13"/>
      <c r="E219" s="1"/>
    </row>
    <row r="220" spans="1:5" ht="15.75">
      <c r="A220" s="8">
        <v>178</v>
      </c>
      <c r="B220" s="1" t="s">
        <v>152</v>
      </c>
      <c r="C220" s="9">
        <v>12</v>
      </c>
      <c r="D220" s="13" t="s">
        <v>238</v>
      </c>
      <c r="E220" s="1"/>
    </row>
    <row r="221" spans="1:5" ht="15.75">
      <c r="A221" s="8">
        <v>179</v>
      </c>
      <c r="B221" s="1" t="s">
        <v>153</v>
      </c>
      <c r="C221" s="9"/>
      <c r="D221" s="13"/>
      <c r="E221" s="1"/>
    </row>
    <row r="222" spans="1:5" ht="15.75">
      <c r="A222" s="8">
        <v>180</v>
      </c>
      <c r="B222" s="1" t="s">
        <v>154</v>
      </c>
      <c r="C222" s="9">
        <v>31.1</v>
      </c>
      <c r="D222" s="13" t="s">
        <v>238</v>
      </c>
      <c r="E222" s="1"/>
    </row>
    <row r="223" spans="1:5" ht="15.75">
      <c r="A223" s="8">
        <v>181</v>
      </c>
      <c r="B223" s="1" t="s">
        <v>155</v>
      </c>
      <c r="C223" s="9">
        <v>6.3</v>
      </c>
      <c r="D223" s="13" t="s">
        <v>238</v>
      </c>
      <c r="E223" s="1"/>
    </row>
    <row r="224" spans="1:5" ht="15.75">
      <c r="A224" s="8">
        <v>182</v>
      </c>
      <c r="B224" s="1" t="s">
        <v>156</v>
      </c>
      <c r="C224" s="9">
        <v>105</v>
      </c>
      <c r="D224" s="13" t="s">
        <v>238</v>
      </c>
      <c r="E224" s="1"/>
    </row>
    <row r="225" spans="2:5" ht="15.75">
      <c r="B225" s="338" t="s">
        <v>157</v>
      </c>
      <c r="C225" s="339"/>
      <c r="D225" s="339"/>
      <c r="E225" s="340"/>
    </row>
    <row r="226" spans="1:5" ht="31.5">
      <c r="A226" s="8">
        <v>183</v>
      </c>
      <c r="B226" s="1" t="s">
        <v>751</v>
      </c>
      <c r="C226" s="9">
        <v>62.1</v>
      </c>
      <c r="D226" s="13" t="s">
        <v>973</v>
      </c>
      <c r="E226" s="1"/>
    </row>
    <row r="227" spans="1:6" ht="15.75">
      <c r="A227" s="8">
        <v>184</v>
      </c>
      <c r="B227" s="1" t="s">
        <v>158</v>
      </c>
      <c r="C227" s="9">
        <v>30</v>
      </c>
      <c r="D227" s="13" t="s">
        <v>238</v>
      </c>
      <c r="E227" s="1"/>
      <c r="F227" s="8" t="s">
        <v>874</v>
      </c>
    </row>
    <row r="228" spans="1:6" ht="15.75">
      <c r="A228" s="8">
        <v>185</v>
      </c>
      <c r="B228" s="1" t="s">
        <v>159</v>
      </c>
      <c r="C228" s="9">
        <v>30</v>
      </c>
      <c r="D228" s="13" t="s">
        <v>238</v>
      </c>
      <c r="E228" s="1"/>
      <c r="F228" s="8" t="s">
        <v>874</v>
      </c>
    </row>
    <row r="229" spans="1:5" ht="15.75">
      <c r="A229" s="8">
        <v>186</v>
      </c>
      <c r="B229" s="1" t="s">
        <v>160</v>
      </c>
      <c r="C229" s="9">
        <v>9</v>
      </c>
      <c r="D229" s="13" t="s">
        <v>240</v>
      </c>
      <c r="E229" s="1"/>
    </row>
    <row r="230" spans="1:5" ht="15.75">
      <c r="A230" s="8">
        <v>187</v>
      </c>
      <c r="B230" s="1" t="s">
        <v>161</v>
      </c>
      <c r="C230" s="9">
        <v>8.4</v>
      </c>
      <c r="D230" s="13" t="s">
        <v>240</v>
      </c>
      <c r="E230" s="1"/>
    </row>
    <row r="231" spans="1:5" ht="15.75">
      <c r="A231" s="8">
        <v>188</v>
      </c>
      <c r="B231" s="1" t="s">
        <v>162</v>
      </c>
      <c r="C231" s="9">
        <v>25.4</v>
      </c>
      <c r="D231" s="13" t="s">
        <v>238</v>
      </c>
      <c r="E231" s="1"/>
    </row>
    <row r="232" spans="2:5" ht="15.75">
      <c r="B232" s="338" t="s">
        <v>163</v>
      </c>
      <c r="C232" s="339"/>
      <c r="D232" s="339"/>
      <c r="E232" s="340"/>
    </row>
    <row r="233" spans="1:5" ht="15.75">
      <c r="A233" s="8">
        <v>189</v>
      </c>
      <c r="B233" s="1" t="s">
        <v>164</v>
      </c>
      <c r="C233" s="9">
        <v>38</v>
      </c>
      <c r="D233" s="13" t="s">
        <v>238</v>
      </c>
      <c r="E233" s="1"/>
    </row>
    <row r="234" spans="1:5" ht="15.75">
      <c r="A234" s="8">
        <v>190</v>
      </c>
      <c r="B234" s="1" t="s">
        <v>165</v>
      </c>
      <c r="C234" s="9">
        <v>71.4</v>
      </c>
      <c r="D234" s="13" t="s">
        <v>238</v>
      </c>
      <c r="E234" s="1"/>
    </row>
    <row r="235" spans="1:5" ht="15.75">
      <c r="A235" s="8">
        <v>191</v>
      </c>
      <c r="B235" s="1" t="s">
        <v>166</v>
      </c>
      <c r="C235" s="9">
        <v>18</v>
      </c>
      <c r="D235" s="13" t="s">
        <v>240</v>
      </c>
      <c r="E235" s="1"/>
    </row>
    <row r="236" spans="2:5" ht="15.75">
      <c r="B236" s="338" t="s">
        <v>1089</v>
      </c>
      <c r="C236" s="339"/>
      <c r="D236" s="339"/>
      <c r="E236" s="340"/>
    </row>
    <row r="237" spans="1:5" ht="15.75">
      <c r="A237" s="8">
        <v>192</v>
      </c>
      <c r="B237" s="1" t="s">
        <v>167</v>
      </c>
      <c r="C237" s="9"/>
      <c r="D237" s="13"/>
      <c r="E237" s="248"/>
    </row>
    <row r="238" spans="1:5" ht="15.75">
      <c r="A238" s="8">
        <v>193</v>
      </c>
      <c r="B238" s="1" t="s">
        <v>168</v>
      </c>
      <c r="C238" s="9">
        <v>29.7</v>
      </c>
      <c r="D238" s="13" t="s">
        <v>238</v>
      </c>
      <c r="E238" s="1"/>
    </row>
    <row r="239" spans="1:5" ht="15.75">
      <c r="A239" s="8">
        <v>194</v>
      </c>
      <c r="B239" s="1" t="s">
        <v>1085</v>
      </c>
      <c r="C239" s="9">
        <v>16.2</v>
      </c>
      <c r="D239" s="13" t="s">
        <v>240</v>
      </c>
      <c r="E239" s="1"/>
    </row>
    <row r="240" spans="1:5" ht="15.75">
      <c r="A240" s="8">
        <v>195</v>
      </c>
      <c r="B240" s="1" t="s">
        <v>1086</v>
      </c>
      <c r="C240" s="9">
        <v>11.9</v>
      </c>
      <c r="D240" s="13" t="s">
        <v>238</v>
      </c>
      <c r="E240" s="1"/>
    </row>
    <row r="241" spans="1:5" ht="15.75">
      <c r="A241" s="8">
        <v>196</v>
      </c>
      <c r="B241" s="2" t="s">
        <v>1087</v>
      </c>
      <c r="C241" s="10"/>
      <c r="D241" s="247"/>
      <c r="E241" s="11"/>
    </row>
    <row r="242" spans="1:5" ht="15.75">
      <c r="A242" s="8">
        <v>197</v>
      </c>
      <c r="B242" s="2" t="s">
        <v>1088</v>
      </c>
      <c r="C242" s="10"/>
      <c r="D242" s="247"/>
      <c r="E242" s="11"/>
    </row>
    <row r="243" spans="2:5" ht="15.75">
      <c r="B243" s="338" t="s">
        <v>169</v>
      </c>
      <c r="C243" s="339"/>
      <c r="D243" s="339"/>
      <c r="E243" s="340"/>
    </row>
    <row r="244" spans="1:6" ht="15.75">
      <c r="A244" s="8">
        <v>198</v>
      </c>
      <c r="B244" s="1" t="s">
        <v>170</v>
      </c>
      <c r="C244" s="9">
        <v>37.6</v>
      </c>
      <c r="D244" s="13" t="s">
        <v>238</v>
      </c>
      <c r="E244" s="1"/>
      <c r="F244" s="8" t="s">
        <v>982</v>
      </c>
    </row>
    <row r="245" spans="1:6" ht="15.75">
      <c r="A245" s="8">
        <v>199</v>
      </c>
      <c r="B245" s="1" t="s">
        <v>171</v>
      </c>
      <c r="C245" s="9">
        <v>44</v>
      </c>
      <c r="D245" s="13" t="s">
        <v>238</v>
      </c>
      <c r="E245" s="1"/>
      <c r="F245" s="8" t="s">
        <v>982</v>
      </c>
    </row>
    <row r="246" spans="1:5" ht="15.75">
      <c r="A246" s="8">
        <v>200</v>
      </c>
      <c r="B246" s="1" t="s">
        <v>172</v>
      </c>
      <c r="C246" s="9">
        <v>23.1</v>
      </c>
      <c r="D246" s="13" t="s">
        <v>240</v>
      </c>
      <c r="E246" s="1"/>
    </row>
    <row r="247" spans="2:5" ht="15.75">
      <c r="B247" s="338" t="s">
        <v>858</v>
      </c>
      <c r="C247" s="339"/>
      <c r="D247" s="339"/>
      <c r="E247" s="340"/>
    </row>
    <row r="248" spans="1:5" ht="15.75">
      <c r="A248" s="8">
        <v>201</v>
      </c>
      <c r="B248" s="1" t="s">
        <v>233</v>
      </c>
      <c r="C248" s="9">
        <v>18.6</v>
      </c>
      <c r="D248" s="13" t="s">
        <v>238</v>
      </c>
      <c r="E248" s="1"/>
    </row>
    <row r="249" spans="1:5" ht="15.75">
      <c r="A249" s="8">
        <v>202</v>
      </c>
      <c r="B249" s="1" t="s">
        <v>234</v>
      </c>
      <c r="C249" s="9">
        <v>18.6</v>
      </c>
      <c r="D249" s="13" t="s">
        <v>238</v>
      </c>
      <c r="E249" s="1"/>
    </row>
    <row r="250" spans="1:5" ht="15.75">
      <c r="A250" s="8">
        <v>203</v>
      </c>
      <c r="B250" s="1" t="s">
        <v>235</v>
      </c>
      <c r="C250" s="9">
        <v>18.9</v>
      </c>
      <c r="D250" s="13" t="s">
        <v>238</v>
      </c>
      <c r="E250" s="1"/>
    </row>
    <row r="251" spans="1:5" ht="15.75">
      <c r="A251" s="8">
        <v>204</v>
      </c>
      <c r="B251" s="1" t="s">
        <v>236</v>
      </c>
      <c r="C251" s="9">
        <v>16.8</v>
      </c>
      <c r="D251" s="13" t="s">
        <v>238</v>
      </c>
      <c r="E251" s="1"/>
    </row>
    <row r="252" spans="2:5" ht="15.75">
      <c r="B252" s="338" t="s">
        <v>173</v>
      </c>
      <c r="C252" s="339"/>
      <c r="D252" s="339"/>
      <c r="E252" s="340"/>
    </row>
    <row r="253" spans="1:6" ht="15.75">
      <c r="A253" s="8">
        <v>205</v>
      </c>
      <c r="B253" s="1" t="s">
        <v>174</v>
      </c>
      <c r="C253" s="9">
        <f>3*4</f>
        <v>12</v>
      </c>
      <c r="D253" s="13" t="s">
        <v>238</v>
      </c>
      <c r="E253" s="1"/>
      <c r="F253" s="8" t="s">
        <v>983</v>
      </c>
    </row>
    <row r="254" spans="2:5" ht="15.75">
      <c r="B254" s="338" t="s">
        <v>448</v>
      </c>
      <c r="C254" s="339"/>
      <c r="D254" s="339"/>
      <c r="E254" s="340"/>
    </row>
    <row r="255" spans="1:5" ht="15.75">
      <c r="A255" s="8">
        <v>206</v>
      </c>
      <c r="B255" s="1" t="s">
        <v>205</v>
      </c>
      <c r="C255" s="9"/>
      <c r="D255" s="13"/>
      <c r="E255" s="1"/>
    </row>
    <row r="256" spans="1:5" ht="15.75">
      <c r="A256" s="8">
        <v>207</v>
      </c>
      <c r="B256" s="1" t="s">
        <v>449</v>
      </c>
      <c r="C256" s="9">
        <v>50.2</v>
      </c>
      <c r="D256" s="13" t="s">
        <v>238</v>
      </c>
      <c r="E256" s="1"/>
    </row>
    <row r="257" spans="1:5" ht="15.75">
      <c r="A257" s="8">
        <v>208</v>
      </c>
      <c r="B257" s="1" t="s">
        <v>206</v>
      </c>
      <c r="C257" s="9">
        <v>16.2</v>
      </c>
      <c r="D257" s="13" t="s">
        <v>238</v>
      </c>
      <c r="E257" s="1"/>
    </row>
    <row r="258" spans="2:5" ht="12.75">
      <c r="B258" s="323" t="s">
        <v>1015</v>
      </c>
      <c r="C258" s="324"/>
      <c r="D258" s="324"/>
      <c r="E258" s="325"/>
    </row>
    <row r="259" spans="1:6" ht="15.75">
      <c r="A259" s="8">
        <v>209</v>
      </c>
      <c r="B259" s="264" t="s">
        <v>1016</v>
      </c>
      <c r="C259" s="249">
        <v>24</v>
      </c>
      <c r="D259" s="253" t="s">
        <v>238</v>
      </c>
      <c r="E259" s="254"/>
      <c r="F259" s="8">
        <v>2019</v>
      </c>
    </row>
    <row r="260" spans="2:5" ht="15.75">
      <c r="B260" s="338" t="s">
        <v>991</v>
      </c>
      <c r="C260" s="339"/>
      <c r="D260" s="339"/>
      <c r="E260" s="340"/>
    </row>
    <row r="261" spans="1:5" ht="15.75">
      <c r="A261" s="8">
        <v>210</v>
      </c>
      <c r="B261" s="1" t="s">
        <v>176</v>
      </c>
      <c r="C261" s="9"/>
      <c r="D261" s="13"/>
      <c r="E261" s="1"/>
    </row>
    <row r="262" spans="1:5" ht="15.75">
      <c r="A262" s="8">
        <v>211</v>
      </c>
      <c r="B262" s="1" t="s">
        <v>177</v>
      </c>
      <c r="C262" s="9">
        <v>12</v>
      </c>
      <c r="D262" s="13" t="s">
        <v>240</v>
      </c>
      <c r="E262" s="1"/>
    </row>
    <row r="263" spans="1:5" ht="15.75">
      <c r="A263" s="8">
        <v>212</v>
      </c>
      <c r="B263" s="1" t="s">
        <v>984</v>
      </c>
      <c r="C263" s="9">
        <v>5.5</v>
      </c>
      <c r="D263" s="13" t="s">
        <v>238</v>
      </c>
      <c r="E263" s="1"/>
    </row>
    <row r="264" spans="1:6" ht="15.75">
      <c r="A264" s="8">
        <v>213</v>
      </c>
      <c r="B264" s="1" t="s">
        <v>985</v>
      </c>
      <c r="C264" s="9">
        <v>42.3</v>
      </c>
      <c r="D264" s="13" t="s">
        <v>238</v>
      </c>
      <c r="E264" s="1"/>
      <c r="F264" s="8" t="s">
        <v>982</v>
      </c>
    </row>
    <row r="265" spans="1:5" ht="15.75">
      <c r="A265" s="8">
        <v>214</v>
      </c>
      <c r="B265" s="2" t="s">
        <v>986</v>
      </c>
      <c r="C265" s="10">
        <v>15.12</v>
      </c>
      <c r="D265" s="247" t="s">
        <v>238</v>
      </c>
      <c r="E265" s="11"/>
    </row>
    <row r="266" spans="1:5" ht="15.75">
      <c r="A266" s="8">
        <v>215</v>
      </c>
      <c r="B266" s="2" t="s">
        <v>987</v>
      </c>
      <c r="C266" s="10"/>
      <c r="D266" s="247"/>
      <c r="E266" s="11"/>
    </row>
    <row r="267" spans="1:5" ht="15.75">
      <c r="A267" s="8">
        <v>216</v>
      </c>
      <c r="B267" s="2" t="s">
        <v>988</v>
      </c>
      <c r="C267" s="10">
        <v>18</v>
      </c>
      <c r="D267" s="247" t="s">
        <v>238</v>
      </c>
      <c r="E267" s="11"/>
    </row>
    <row r="268" spans="1:5" ht="15.75">
      <c r="A268" s="8">
        <v>217</v>
      </c>
      <c r="B268" s="2" t="s">
        <v>989</v>
      </c>
      <c r="C268" s="10"/>
      <c r="D268" s="247"/>
      <c r="E268" s="11"/>
    </row>
    <row r="269" spans="1:5" ht="15.75">
      <c r="A269" s="8">
        <v>218</v>
      </c>
      <c r="B269" s="2" t="s">
        <v>990</v>
      </c>
      <c r="C269" s="10">
        <v>18.6</v>
      </c>
      <c r="D269" s="247" t="s">
        <v>238</v>
      </c>
      <c r="E269" s="11"/>
    </row>
    <row r="270" spans="2:5" ht="15.75">
      <c r="B270" s="338" t="s">
        <v>178</v>
      </c>
      <c r="C270" s="339"/>
      <c r="D270" s="339"/>
      <c r="E270" s="340"/>
    </row>
    <row r="271" spans="1:5" ht="31.5">
      <c r="A271" s="8">
        <v>219</v>
      </c>
      <c r="B271" s="1" t="s">
        <v>179</v>
      </c>
      <c r="C271" s="9">
        <v>26.5</v>
      </c>
      <c r="D271" s="13" t="s">
        <v>948</v>
      </c>
      <c r="E271" s="1"/>
    </row>
    <row r="272" spans="1:6" ht="15.75">
      <c r="A272" s="8">
        <v>220</v>
      </c>
      <c r="B272" s="1" t="s">
        <v>406</v>
      </c>
      <c r="C272" s="9">
        <v>30</v>
      </c>
      <c r="D272" s="13" t="s">
        <v>238</v>
      </c>
      <c r="E272" s="1"/>
      <c r="F272" s="8">
        <v>2018</v>
      </c>
    </row>
    <row r="273" spans="1:5" ht="15.75">
      <c r="A273" s="8">
        <v>221</v>
      </c>
      <c r="B273" s="1" t="s">
        <v>422</v>
      </c>
      <c r="C273" s="9">
        <v>40.3</v>
      </c>
      <c r="D273" s="13" t="s">
        <v>238</v>
      </c>
      <c r="E273" s="1"/>
    </row>
    <row r="274" spans="1:5" ht="15.75">
      <c r="A274" s="8">
        <v>222</v>
      </c>
      <c r="B274" s="1" t="s">
        <v>180</v>
      </c>
      <c r="C274" s="9"/>
      <c r="D274" s="13"/>
      <c r="E274" s="1"/>
    </row>
    <row r="275" spans="1:5" ht="15.75">
      <c r="A275" s="8">
        <v>223</v>
      </c>
      <c r="B275" s="1" t="s">
        <v>181</v>
      </c>
      <c r="C275" s="9"/>
      <c r="D275" s="13"/>
      <c r="E275" s="1"/>
    </row>
    <row r="276" spans="1:6" ht="15.75">
      <c r="A276" s="8">
        <v>224</v>
      </c>
      <c r="B276" s="1" t="s">
        <v>182</v>
      </c>
      <c r="C276" s="9">
        <v>8.4</v>
      </c>
      <c r="D276" s="13" t="s">
        <v>240</v>
      </c>
      <c r="E276" s="1"/>
      <c r="F276" s="8">
        <v>2018</v>
      </c>
    </row>
    <row r="277" spans="1:5" ht="15.75">
      <c r="A277" s="8">
        <v>225</v>
      </c>
      <c r="B277" s="1" t="s">
        <v>183</v>
      </c>
      <c r="C277" s="9">
        <v>10.7</v>
      </c>
      <c r="D277" s="13" t="s">
        <v>238</v>
      </c>
      <c r="E277" s="1"/>
    </row>
    <row r="278" spans="1:5" ht="15.75">
      <c r="A278" s="8">
        <v>226</v>
      </c>
      <c r="B278" s="1" t="s">
        <v>184</v>
      </c>
      <c r="C278" s="9"/>
      <c r="D278" s="13"/>
      <c r="E278" s="1"/>
    </row>
    <row r="279" spans="1:5" ht="15.75">
      <c r="A279" s="8">
        <v>227</v>
      </c>
      <c r="B279" s="1" t="s">
        <v>185</v>
      </c>
      <c r="C279" s="9"/>
      <c r="D279" s="13"/>
      <c r="E279" s="1"/>
    </row>
    <row r="280" spans="1:5" ht="15.75">
      <c r="A280" s="8">
        <v>228</v>
      </c>
      <c r="B280" s="1" t="s">
        <v>186</v>
      </c>
      <c r="C280" s="9">
        <v>8</v>
      </c>
      <c r="D280" s="13" t="s">
        <v>238</v>
      </c>
      <c r="E280" s="1"/>
    </row>
    <row r="281" spans="2:5" ht="15.75">
      <c r="B281" s="338" t="s">
        <v>187</v>
      </c>
      <c r="C281" s="339"/>
      <c r="D281" s="339"/>
      <c r="E281" s="340"/>
    </row>
    <row r="282" spans="1:5" ht="15.75">
      <c r="A282" s="8">
        <v>229</v>
      </c>
      <c r="B282" s="1" t="s">
        <v>123</v>
      </c>
      <c r="C282" s="9"/>
      <c r="D282" s="13"/>
      <c r="E282" s="1"/>
    </row>
    <row r="283" spans="1:5" ht="15.75">
      <c r="A283" s="8">
        <v>230</v>
      </c>
      <c r="B283" s="1" t="s">
        <v>188</v>
      </c>
      <c r="C283" s="9">
        <v>20.7</v>
      </c>
      <c r="D283" s="13" t="s">
        <v>238</v>
      </c>
      <c r="E283" s="1"/>
    </row>
    <row r="284" spans="1:5" ht="15.75">
      <c r="A284" s="8">
        <v>231</v>
      </c>
      <c r="B284" s="1" t="s">
        <v>189</v>
      </c>
      <c r="C284" s="9"/>
      <c r="D284" s="13"/>
      <c r="E284" s="1"/>
    </row>
    <row r="285" spans="1:5" ht="15.75">
      <c r="A285" s="8">
        <v>232</v>
      </c>
      <c r="B285" s="1" t="s">
        <v>190</v>
      </c>
      <c r="C285" s="9">
        <v>15.8</v>
      </c>
      <c r="D285" s="13" t="s">
        <v>238</v>
      </c>
      <c r="E285" s="1"/>
    </row>
    <row r="286" spans="1:5" ht="15.75">
      <c r="A286" s="8">
        <v>233</v>
      </c>
      <c r="B286" s="1" t="s">
        <v>191</v>
      </c>
      <c r="C286" s="9">
        <v>18.9</v>
      </c>
      <c r="D286" s="13" t="s">
        <v>238</v>
      </c>
      <c r="E286" s="1"/>
    </row>
    <row r="287" spans="1:5" ht="15.75">
      <c r="A287" s="8">
        <v>234</v>
      </c>
      <c r="B287" s="1" t="s">
        <v>192</v>
      </c>
      <c r="C287" s="9">
        <v>19.7</v>
      </c>
      <c r="D287" s="13" t="s">
        <v>238</v>
      </c>
      <c r="E287" s="1"/>
    </row>
    <row r="288" spans="2:5" ht="15.75">
      <c r="B288" s="338" t="s">
        <v>992</v>
      </c>
      <c r="C288" s="339"/>
      <c r="D288" s="339"/>
      <c r="E288" s="340"/>
    </row>
    <row r="289" spans="1:5" ht="15.75">
      <c r="A289" s="8">
        <v>235</v>
      </c>
      <c r="B289" s="1" t="s">
        <v>194</v>
      </c>
      <c r="C289" s="9">
        <v>15.3</v>
      </c>
      <c r="D289" s="13" t="s">
        <v>238</v>
      </c>
      <c r="E289" s="1"/>
    </row>
    <row r="290" spans="1:5" ht="31.5">
      <c r="A290" s="8">
        <v>236</v>
      </c>
      <c r="B290" s="1" t="s">
        <v>195</v>
      </c>
      <c r="C290" s="9">
        <v>36.4</v>
      </c>
      <c r="D290" s="13" t="s">
        <v>948</v>
      </c>
      <c r="E290" s="1"/>
    </row>
    <row r="291" spans="1:5" ht="15.75">
      <c r="A291" s="8">
        <v>237</v>
      </c>
      <c r="B291" s="1" t="s">
        <v>196</v>
      </c>
      <c r="C291" s="9">
        <v>10.2</v>
      </c>
      <c r="D291" s="13" t="s">
        <v>238</v>
      </c>
      <c r="E291" s="1"/>
    </row>
    <row r="292" spans="1:5" ht="15.75">
      <c r="A292" s="8">
        <v>238</v>
      </c>
      <c r="B292" s="1" t="s">
        <v>197</v>
      </c>
      <c r="C292" s="9">
        <v>12</v>
      </c>
      <c r="D292" s="13" t="s">
        <v>240</v>
      </c>
      <c r="E292" s="1"/>
    </row>
    <row r="293" spans="2:5" ht="15.75">
      <c r="B293" s="338" t="s">
        <v>993</v>
      </c>
      <c r="C293" s="339"/>
      <c r="D293" s="339"/>
      <c r="E293" s="340"/>
    </row>
    <row r="294" spans="1:6" ht="15.75">
      <c r="A294" s="8">
        <v>239</v>
      </c>
      <c r="B294" s="1" t="s">
        <v>199</v>
      </c>
      <c r="C294" s="9">
        <v>35.7</v>
      </c>
      <c r="D294" s="13" t="s">
        <v>240</v>
      </c>
      <c r="E294" s="1"/>
      <c r="F294" s="8" t="s">
        <v>972</v>
      </c>
    </row>
    <row r="295" spans="1:5" ht="15.75">
      <c r="A295" s="8">
        <v>240</v>
      </c>
      <c r="B295" s="1" t="s">
        <v>200</v>
      </c>
      <c r="C295" s="9">
        <v>40</v>
      </c>
      <c r="D295" s="13" t="s">
        <v>238</v>
      </c>
      <c r="E295" s="1"/>
    </row>
    <row r="296" spans="2:5" ht="15.75">
      <c r="B296" s="338" t="s">
        <v>201</v>
      </c>
      <c r="C296" s="339"/>
      <c r="D296" s="339"/>
      <c r="E296" s="340"/>
    </row>
    <row r="297" spans="1:5" ht="15.75">
      <c r="A297" s="8">
        <v>241</v>
      </c>
      <c r="B297" s="1" t="s">
        <v>202</v>
      </c>
      <c r="C297" s="9">
        <v>8.5</v>
      </c>
      <c r="D297" s="13" t="s">
        <v>238</v>
      </c>
      <c r="E297" s="1"/>
    </row>
    <row r="298" spans="1:5" ht="15.75">
      <c r="A298" s="8">
        <v>242</v>
      </c>
      <c r="B298" s="1" t="s">
        <v>203</v>
      </c>
      <c r="C298" s="9">
        <v>36</v>
      </c>
      <c r="D298" s="13" t="s">
        <v>238</v>
      </c>
      <c r="E298" s="1"/>
    </row>
    <row r="299" spans="1:5" ht="15.75">
      <c r="A299" s="8">
        <v>243</v>
      </c>
      <c r="B299" s="1" t="s">
        <v>204</v>
      </c>
      <c r="C299" s="9"/>
      <c r="D299" s="13"/>
      <c r="E299" s="1"/>
    </row>
    <row r="300" spans="2:5" ht="15.75">
      <c r="B300" s="338" t="s">
        <v>321</v>
      </c>
      <c r="C300" s="339"/>
      <c r="D300" s="339"/>
      <c r="E300" s="340"/>
    </row>
    <row r="301" spans="1:5" ht="15.75">
      <c r="A301" s="8">
        <v>244</v>
      </c>
      <c r="B301" s="1" t="s">
        <v>207</v>
      </c>
      <c r="C301" s="9">
        <v>66.6</v>
      </c>
      <c r="D301" s="13" t="s">
        <v>238</v>
      </c>
      <c r="E301" s="1"/>
    </row>
    <row r="302" spans="1:5" ht="15.75">
      <c r="A302" s="8">
        <v>245</v>
      </c>
      <c r="B302" s="1" t="s">
        <v>208</v>
      </c>
      <c r="C302" s="9">
        <v>45.5</v>
      </c>
      <c r="D302" s="13" t="s">
        <v>240</v>
      </c>
      <c r="E302" s="1"/>
    </row>
    <row r="303" spans="1:5" ht="31.5">
      <c r="A303" s="8">
        <v>246</v>
      </c>
      <c r="B303" s="1" t="s">
        <v>209</v>
      </c>
      <c r="C303" s="9">
        <v>230.2</v>
      </c>
      <c r="D303" s="13" t="s">
        <v>948</v>
      </c>
      <c r="E303" s="1"/>
    </row>
    <row r="304" spans="1:5" ht="31.5">
      <c r="A304" s="8">
        <v>247</v>
      </c>
      <c r="B304" s="1" t="s">
        <v>210</v>
      </c>
      <c r="C304" s="9">
        <f>246.6+375.9</f>
        <v>622.5</v>
      </c>
      <c r="D304" s="13" t="s">
        <v>948</v>
      </c>
      <c r="E304" s="1"/>
    </row>
    <row r="305" spans="1:5" ht="15.75">
      <c r="A305" s="8">
        <v>248</v>
      </c>
      <c r="B305" s="1" t="s">
        <v>994</v>
      </c>
      <c r="C305" s="9">
        <v>97.7</v>
      </c>
      <c r="D305" s="13" t="s">
        <v>240</v>
      </c>
      <c r="E305" s="1"/>
    </row>
    <row r="306" spans="1:6" ht="15.75">
      <c r="A306" s="8">
        <v>249</v>
      </c>
      <c r="B306" s="1" t="s">
        <v>211</v>
      </c>
      <c r="C306" s="9">
        <v>18.7</v>
      </c>
      <c r="D306" s="13" t="s">
        <v>238</v>
      </c>
      <c r="E306" s="1"/>
      <c r="F306" s="8" t="s">
        <v>972</v>
      </c>
    </row>
    <row r="307" spans="1:6" ht="15.75">
      <c r="A307" s="8">
        <v>250</v>
      </c>
      <c r="B307" s="1" t="s">
        <v>212</v>
      </c>
      <c r="C307" s="9">
        <v>32</v>
      </c>
      <c r="D307" s="13" t="s">
        <v>238</v>
      </c>
      <c r="E307" s="1"/>
      <c r="F307" s="8" t="s">
        <v>972</v>
      </c>
    </row>
    <row r="308" spans="1:5" ht="15.75">
      <c r="A308" s="8">
        <v>251</v>
      </c>
      <c r="B308" s="1" t="s">
        <v>213</v>
      </c>
      <c r="C308" s="9">
        <v>7.2</v>
      </c>
      <c r="D308" s="13" t="s">
        <v>240</v>
      </c>
      <c r="E308" s="1"/>
    </row>
    <row r="309" spans="1:5" ht="15.75">
      <c r="A309" s="8">
        <v>252</v>
      </c>
      <c r="B309" s="1" t="s">
        <v>214</v>
      </c>
      <c r="C309" s="9">
        <v>6.6</v>
      </c>
      <c r="D309" s="13" t="s">
        <v>240</v>
      </c>
      <c r="E309" s="1"/>
    </row>
    <row r="310" spans="2:5" ht="15.75">
      <c r="B310" s="338" t="s">
        <v>215</v>
      </c>
      <c r="C310" s="339"/>
      <c r="D310" s="339"/>
      <c r="E310" s="340"/>
    </row>
    <row r="311" spans="1:5" ht="15.75">
      <c r="A311" s="8">
        <v>253</v>
      </c>
      <c r="B311" s="1" t="s">
        <v>216</v>
      </c>
      <c r="C311" s="9">
        <v>7.2</v>
      </c>
      <c r="D311" s="13" t="s">
        <v>240</v>
      </c>
      <c r="E311" s="1"/>
    </row>
    <row r="312" spans="1:5" ht="15.75">
      <c r="A312" s="8">
        <v>254</v>
      </c>
      <c r="B312" s="1" t="s">
        <v>995</v>
      </c>
      <c r="C312" s="9">
        <v>8.8</v>
      </c>
      <c r="D312" s="13" t="s">
        <v>238</v>
      </c>
      <c r="E312" s="1"/>
    </row>
    <row r="313" spans="1:5" ht="15.75">
      <c r="A313" s="8">
        <v>255</v>
      </c>
      <c r="B313" s="1" t="s">
        <v>217</v>
      </c>
      <c r="C313" s="9"/>
      <c r="D313" s="13"/>
      <c r="E313" s="1"/>
    </row>
    <row r="314" spans="1:5" ht="15.75">
      <c r="A314" s="8">
        <v>256</v>
      </c>
      <c r="B314" s="1" t="s">
        <v>218</v>
      </c>
      <c r="C314" s="9"/>
      <c r="D314" s="13"/>
      <c r="E314" s="1"/>
    </row>
    <row r="315" spans="2:5" ht="15.75">
      <c r="B315" s="338" t="s">
        <v>323</v>
      </c>
      <c r="C315" s="339"/>
      <c r="D315" s="339"/>
      <c r="E315" s="340"/>
    </row>
    <row r="316" spans="1:5" ht="15.75">
      <c r="A316" s="8">
        <v>257</v>
      </c>
      <c r="B316" s="1" t="s">
        <v>220</v>
      </c>
      <c r="C316" s="9"/>
      <c r="D316" s="13"/>
      <c r="E316" s="1"/>
    </row>
    <row r="317" spans="1:5" ht="15.75">
      <c r="A317" s="8">
        <v>258</v>
      </c>
      <c r="B317" s="1" t="s">
        <v>221</v>
      </c>
      <c r="C317" s="9">
        <v>15.4</v>
      </c>
      <c r="D317" s="13" t="s">
        <v>238</v>
      </c>
      <c r="E317" s="1"/>
    </row>
    <row r="318" spans="1:5" ht="15.75">
      <c r="A318" s="8">
        <v>259</v>
      </c>
      <c r="B318" s="1" t="s">
        <v>222</v>
      </c>
      <c r="C318" s="9"/>
      <c r="D318" s="13"/>
      <c r="E318" s="1"/>
    </row>
    <row r="319" spans="1:5" ht="15.75">
      <c r="A319" s="8">
        <v>260</v>
      </c>
      <c r="B319" s="1" t="s">
        <v>223</v>
      </c>
      <c r="C319" s="9">
        <v>43.8</v>
      </c>
      <c r="D319" s="13" t="s">
        <v>238</v>
      </c>
      <c r="E319" s="1"/>
    </row>
    <row r="320" spans="1:5" ht="15.75">
      <c r="A320" s="8">
        <v>261</v>
      </c>
      <c r="B320" s="1" t="s">
        <v>224</v>
      </c>
      <c r="C320" s="9"/>
      <c r="D320" s="13"/>
      <c r="E320" s="1"/>
    </row>
    <row r="321" spans="1:5" ht="15.75">
      <c r="A321" s="8">
        <v>262</v>
      </c>
      <c r="B321" s="1" t="s">
        <v>225</v>
      </c>
      <c r="C321" s="9">
        <v>8.7</v>
      </c>
      <c r="D321" s="13" t="s">
        <v>240</v>
      </c>
      <c r="E321" s="1"/>
    </row>
    <row r="322" spans="1:5" ht="15.75">
      <c r="A322" s="8">
        <v>263</v>
      </c>
      <c r="B322" s="1" t="s">
        <v>226</v>
      </c>
      <c r="C322" s="9"/>
      <c r="D322" s="13"/>
      <c r="E322" s="1"/>
    </row>
    <row r="323" spans="1:5" ht="15.75">
      <c r="A323" s="8">
        <v>264</v>
      </c>
      <c r="B323" s="1" t="s">
        <v>227</v>
      </c>
      <c r="C323" s="9">
        <v>21.4</v>
      </c>
      <c r="D323" s="13" t="s">
        <v>238</v>
      </c>
      <c r="E323" s="1"/>
    </row>
    <row r="324" spans="1:5" ht="15.75">
      <c r="A324" s="8">
        <v>265</v>
      </c>
      <c r="B324" s="1" t="s">
        <v>996</v>
      </c>
      <c r="C324" s="9">
        <v>14.8</v>
      </c>
      <c r="D324" s="13" t="s">
        <v>240</v>
      </c>
      <c r="E324" s="1"/>
    </row>
    <row r="325" spans="1:5" ht="15.75">
      <c r="A325" s="8">
        <v>266</v>
      </c>
      <c r="B325" s="1" t="s">
        <v>997</v>
      </c>
      <c r="C325" s="9">
        <v>13.2</v>
      </c>
      <c r="D325" s="13" t="s">
        <v>238</v>
      </c>
      <c r="E325" s="1"/>
    </row>
    <row r="326" spans="1:5" ht="15.75">
      <c r="A326" s="8">
        <v>267</v>
      </c>
      <c r="B326" s="1" t="s">
        <v>998</v>
      </c>
      <c r="C326" s="251">
        <v>9.732800000000001</v>
      </c>
      <c r="D326" s="13" t="s">
        <v>238</v>
      </c>
      <c r="E326" s="1"/>
    </row>
    <row r="327" spans="1:5" ht="15.75">
      <c r="A327" s="8">
        <v>268</v>
      </c>
      <c r="B327" s="1" t="s">
        <v>999</v>
      </c>
      <c r="C327" s="251"/>
      <c r="D327" s="13"/>
      <c r="E327" s="1"/>
    </row>
    <row r="328" spans="1:5" ht="15.75">
      <c r="A328" s="8">
        <v>269</v>
      </c>
      <c r="B328" s="1" t="s">
        <v>1000</v>
      </c>
      <c r="C328" s="251">
        <v>10.926799999999998</v>
      </c>
      <c r="D328" s="13" t="s">
        <v>238</v>
      </c>
      <c r="E328" s="1"/>
    </row>
    <row r="329" spans="1:5" ht="15.75">
      <c r="A329" s="8">
        <v>270</v>
      </c>
      <c r="B329" s="1" t="s">
        <v>1001</v>
      </c>
      <c r="C329" s="252"/>
      <c r="D329" s="13"/>
      <c r="E329" s="1"/>
    </row>
    <row r="330" spans="2:5" ht="15.75">
      <c r="B330" s="332" t="s">
        <v>1026</v>
      </c>
      <c r="C330" s="333"/>
      <c r="D330" s="333"/>
      <c r="E330" s="333"/>
    </row>
    <row r="331" spans="1:5" ht="15.75">
      <c r="A331" s="8">
        <v>271</v>
      </c>
      <c r="B331" s="4" t="s">
        <v>1027</v>
      </c>
      <c r="D331" s="246" t="s">
        <v>238</v>
      </c>
      <c r="E331" s="354" t="s">
        <v>977</v>
      </c>
    </row>
    <row r="332" spans="1:5" ht="15.75">
      <c r="A332" s="8">
        <v>272</v>
      </c>
      <c r="B332" s="4" t="s">
        <v>1044</v>
      </c>
      <c r="D332" s="246"/>
      <c r="E332" s="355"/>
    </row>
    <row r="333" spans="1:5" ht="15.75">
      <c r="A333" s="8">
        <v>273</v>
      </c>
      <c r="B333" s="4" t="s">
        <v>1045</v>
      </c>
      <c r="D333" s="246"/>
      <c r="E333" s="355"/>
    </row>
    <row r="334" spans="1:5" ht="15.75">
      <c r="A334" s="8">
        <v>274</v>
      </c>
      <c r="B334" s="4" t="s">
        <v>1046</v>
      </c>
      <c r="D334" s="246"/>
      <c r="E334" s="355"/>
    </row>
    <row r="335" spans="1:5" ht="15.75">
      <c r="A335" s="8">
        <v>275</v>
      </c>
      <c r="B335" s="4" t="s">
        <v>1047</v>
      </c>
      <c r="D335" s="246"/>
      <c r="E335" s="355"/>
    </row>
    <row r="336" spans="1:5" ht="15.75">
      <c r="A336" s="8">
        <v>276</v>
      </c>
      <c r="B336" s="4" t="s">
        <v>1048</v>
      </c>
      <c r="D336" s="246" t="s">
        <v>238</v>
      </c>
      <c r="E336" s="355"/>
    </row>
    <row r="337" spans="1:5" ht="15.75">
      <c r="A337" s="8">
        <v>277</v>
      </c>
      <c r="B337" s="4" t="s">
        <v>1049</v>
      </c>
      <c r="D337" s="246" t="s">
        <v>238</v>
      </c>
      <c r="E337" s="355"/>
    </row>
    <row r="338" spans="1:5" ht="15.75">
      <c r="A338" s="8">
        <v>278</v>
      </c>
      <c r="B338" s="4" t="s">
        <v>1050</v>
      </c>
      <c r="D338" s="246" t="s">
        <v>238</v>
      </c>
      <c r="E338" s="356"/>
    </row>
    <row r="339" spans="2:5" ht="15.75">
      <c r="B339" s="322" t="s">
        <v>271</v>
      </c>
      <c r="C339" s="322"/>
      <c r="D339" s="322"/>
      <c r="E339" s="322"/>
    </row>
    <row r="340" spans="1:5" ht="15.75">
      <c r="A340" s="8">
        <v>279</v>
      </c>
      <c r="B340" s="1" t="s">
        <v>269</v>
      </c>
      <c r="C340" s="1"/>
      <c r="D340" s="13" t="s">
        <v>238</v>
      </c>
      <c r="E340" s="330" t="s">
        <v>977</v>
      </c>
    </row>
    <row r="341" spans="1:5" ht="15.75">
      <c r="A341" s="8">
        <v>280</v>
      </c>
      <c r="B341" s="1" t="s">
        <v>1051</v>
      </c>
      <c r="C341" s="1"/>
      <c r="D341" s="13" t="s">
        <v>238</v>
      </c>
      <c r="E341" s="331"/>
    </row>
    <row r="342" spans="2:5" ht="15.75">
      <c r="B342" s="322" t="s">
        <v>1012</v>
      </c>
      <c r="C342" s="322"/>
      <c r="D342" s="322"/>
      <c r="E342" s="322"/>
    </row>
    <row r="343" spans="1:5" ht="15.75">
      <c r="A343" s="8">
        <v>281</v>
      </c>
      <c r="B343" s="1" t="s">
        <v>1013</v>
      </c>
      <c r="C343" s="255">
        <v>12</v>
      </c>
      <c r="D343" s="13" t="s">
        <v>238</v>
      </c>
      <c r="E343" s="1" t="s">
        <v>977</v>
      </c>
    </row>
    <row r="344" spans="2:5" ht="15.75">
      <c r="B344" s="322" t="s">
        <v>272</v>
      </c>
      <c r="C344" s="322"/>
      <c r="D344" s="322"/>
      <c r="E344" s="322"/>
    </row>
    <row r="345" spans="1:5" ht="15.75">
      <c r="A345" s="8">
        <v>282</v>
      </c>
      <c r="B345" s="1" t="s">
        <v>270</v>
      </c>
      <c r="C345" s="1"/>
      <c r="D345" s="13" t="s">
        <v>238</v>
      </c>
      <c r="E345" s="1" t="s">
        <v>977</v>
      </c>
    </row>
    <row r="346" spans="2:5" ht="15.75">
      <c r="B346" s="322" t="s">
        <v>1052</v>
      </c>
      <c r="C346" s="322"/>
      <c r="D346" s="322"/>
      <c r="E346" s="322"/>
    </row>
    <row r="347" spans="1:5" ht="15.75">
      <c r="A347" s="8">
        <v>283</v>
      </c>
      <c r="B347" s="1" t="s">
        <v>273</v>
      </c>
      <c r="C347" s="255"/>
      <c r="D347" s="13" t="s">
        <v>238</v>
      </c>
      <c r="E347" s="330" t="s">
        <v>977</v>
      </c>
    </row>
    <row r="348" spans="1:5" ht="15.75">
      <c r="A348" s="8">
        <v>284</v>
      </c>
      <c r="B348" s="1" t="s">
        <v>1028</v>
      </c>
      <c r="C348" s="255"/>
      <c r="D348" s="13"/>
      <c r="E348" s="344"/>
    </row>
    <row r="349" spans="1:5" ht="15.75">
      <c r="A349" s="8">
        <v>285</v>
      </c>
      <c r="B349" s="1" t="s">
        <v>1029</v>
      </c>
      <c r="C349" s="255"/>
      <c r="D349" s="13" t="s">
        <v>238</v>
      </c>
      <c r="E349" s="344"/>
    </row>
    <row r="350" spans="1:5" ht="15.75">
      <c r="A350" s="8">
        <v>286</v>
      </c>
      <c r="B350" s="1" t="s">
        <v>1030</v>
      </c>
      <c r="C350" s="255"/>
      <c r="D350" s="13"/>
      <c r="E350" s="344"/>
    </row>
    <row r="351" spans="1:5" ht="15.75">
      <c r="A351" s="8">
        <v>287</v>
      </c>
      <c r="B351" s="1" t="s">
        <v>1031</v>
      </c>
      <c r="C351" s="255"/>
      <c r="D351" s="13"/>
      <c r="E351" s="344"/>
    </row>
    <row r="352" spans="1:5" ht="15.75">
      <c r="A352" s="8">
        <v>288</v>
      </c>
      <c r="B352" s="1" t="s">
        <v>1032</v>
      </c>
      <c r="C352" s="255"/>
      <c r="D352" s="13"/>
      <c r="E352" s="344"/>
    </row>
    <row r="353" spans="1:5" ht="15.75">
      <c r="A353" s="8">
        <v>289</v>
      </c>
      <c r="B353" s="1" t="s">
        <v>1033</v>
      </c>
      <c r="C353" s="255"/>
      <c r="D353" s="13"/>
      <c r="E353" s="344"/>
    </row>
    <row r="354" spans="1:5" ht="15.75">
      <c r="A354" s="8">
        <v>290</v>
      </c>
      <c r="B354" s="1" t="s">
        <v>1034</v>
      </c>
      <c r="C354" s="255"/>
      <c r="D354" s="13"/>
      <c r="E354" s="344"/>
    </row>
    <row r="355" spans="1:5" ht="15.75">
      <c r="A355" s="8">
        <v>291</v>
      </c>
      <c r="B355" s="1" t="s">
        <v>1035</v>
      </c>
      <c r="C355" s="255"/>
      <c r="D355" s="13"/>
      <c r="E355" s="344"/>
    </row>
    <row r="356" spans="1:5" ht="15.75">
      <c r="A356" s="8">
        <v>292</v>
      </c>
      <c r="B356" s="1" t="s">
        <v>1036</v>
      </c>
      <c r="C356" s="255"/>
      <c r="D356" s="13"/>
      <c r="E356" s="344"/>
    </row>
    <row r="357" spans="1:5" ht="15.75">
      <c r="A357" s="8">
        <v>293</v>
      </c>
      <c r="B357" s="1" t="s">
        <v>1037</v>
      </c>
      <c r="C357" s="255"/>
      <c r="D357" s="13"/>
      <c r="E357" s="344"/>
    </row>
    <row r="358" spans="1:5" ht="15.75">
      <c r="A358" s="8">
        <v>294</v>
      </c>
      <c r="B358" s="1" t="s">
        <v>1038</v>
      </c>
      <c r="C358" s="255"/>
      <c r="D358" s="13"/>
      <c r="E358" s="344"/>
    </row>
    <row r="359" spans="1:5" ht="15.75">
      <c r="A359" s="8">
        <v>295</v>
      </c>
      <c r="B359" s="1" t="s">
        <v>1039</v>
      </c>
      <c r="C359" s="255"/>
      <c r="D359" s="13"/>
      <c r="E359" s="331"/>
    </row>
    <row r="360" spans="2:5" ht="15.75">
      <c r="B360" s="322" t="s">
        <v>1043</v>
      </c>
      <c r="C360" s="322"/>
      <c r="D360" s="322"/>
      <c r="E360" s="322"/>
    </row>
    <row r="361" spans="1:5" s="257" customFormat="1" ht="15.75">
      <c r="A361" s="257">
        <v>296</v>
      </c>
      <c r="B361" s="258" t="s">
        <v>1040</v>
      </c>
      <c r="C361" s="258"/>
      <c r="D361" s="258"/>
      <c r="E361" s="341" t="s">
        <v>977</v>
      </c>
    </row>
    <row r="362" spans="1:5" s="257" customFormat="1" ht="15.75">
      <c r="A362" s="257">
        <v>297</v>
      </c>
      <c r="B362" s="258" t="s">
        <v>1041</v>
      </c>
      <c r="C362" s="258"/>
      <c r="D362" s="258"/>
      <c r="E362" s="342"/>
    </row>
    <row r="363" spans="1:5" ht="15.75">
      <c r="A363" s="8">
        <v>298</v>
      </c>
      <c r="B363" s="1" t="s">
        <v>1042</v>
      </c>
      <c r="C363" s="255">
        <v>18</v>
      </c>
      <c r="D363" s="13" t="s">
        <v>238</v>
      </c>
      <c r="E363" s="343"/>
    </row>
    <row r="364" spans="2:5" ht="15.75">
      <c r="B364" s="322" t="s">
        <v>276</v>
      </c>
      <c r="C364" s="322"/>
      <c r="D364" s="322"/>
      <c r="E364" s="322"/>
    </row>
    <row r="365" spans="1:5" ht="15.75">
      <c r="A365" s="8">
        <v>299</v>
      </c>
      <c r="B365" s="1" t="s">
        <v>275</v>
      </c>
      <c r="C365" s="1"/>
      <c r="D365" s="13" t="s">
        <v>238</v>
      </c>
      <c r="E365" s="1"/>
    </row>
    <row r="366" spans="2:5" ht="15.75">
      <c r="B366" s="322" t="s">
        <v>274</v>
      </c>
      <c r="C366" s="322"/>
      <c r="D366" s="322"/>
      <c r="E366" s="322"/>
    </row>
    <row r="367" spans="1:5" ht="15.75">
      <c r="A367" s="8">
        <v>300</v>
      </c>
      <c r="B367" s="1" t="s">
        <v>1019</v>
      </c>
      <c r="C367" s="255">
        <v>18</v>
      </c>
      <c r="D367" s="13" t="s">
        <v>238</v>
      </c>
      <c r="E367" s="1"/>
    </row>
    <row r="368" spans="2:5" ht="15.75">
      <c r="B368" s="322" t="s">
        <v>1024</v>
      </c>
      <c r="C368" s="322"/>
      <c r="D368" s="322"/>
      <c r="E368" s="322"/>
    </row>
    <row r="369" spans="1:5" ht="25.5" customHeight="1">
      <c r="A369" s="8">
        <v>301</v>
      </c>
      <c r="B369" s="1" t="s">
        <v>1023</v>
      </c>
      <c r="C369" s="1"/>
      <c r="D369" s="13" t="s">
        <v>238</v>
      </c>
      <c r="E369" s="330" t="s">
        <v>977</v>
      </c>
    </row>
    <row r="370" spans="1:5" ht="24.75" customHeight="1">
      <c r="A370" s="8">
        <v>302</v>
      </c>
      <c r="B370" s="1" t="s">
        <v>1025</v>
      </c>
      <c r="C370" s="1"/>
      <c r="D370" s="13" t="s">
        <v>238</v>
      </c>
      <c r="E370" s="331"/>
    </row>
    <row r="371" spans="2:5" ht="15.75">
      <c r="B371" s="322" t="s">
        <v>281</v>
      </c>
      <c r="C371" s="322"/>
      <c r="D371" s="322"/>
      <c r="E371" s="322"/>
    </row>
    <row r="372" spans="1:5" ht="47.25">
      <c r="A372" s="8">
        <v>303</v>
      </c>
      <c r="B372" s="1" t="s">
        <v>269</v>
      </c>
      <c r="C372" s="255">
        <v>24</v>
      </c>
      <c r="D372" s="13" t="s">
        <v>238</v>
      </c>
      <c r="E372" s="13" t="s">
        <v>977</v>
      </c>
    </row>
    <row r="373" spans="2:5" ht="15.75">
      <c r="B373" s="322" t="s">
        <v>1104</v>
      </c>
      <c r="C373" s="322"/>
      <c r="D373" s="322"/>
      <c r="E373" s="322"/>
    </row>
    <row r="374" spans="1:5" ht="15.75">
      <c r="A374" s="8">
        <v>304</v>
      </c>
      <c r="B374" s="1" t="s">
        <v>282</v>
      </c>
      <c r="C374" s="1"/>
      <c r="D374" s="13" t="s">
        <v>238</v>
      </c>
      <c r="E374" s="326" t="s">
        <v>1022</v>
      </c>
    </row>
    <row r="375" spans="1:5" ht="15.75">
      <c r="A375" s="8">
        <v>305</v>
      </c>
      <c r="B375" s="1" t="s">
        <v>1095</v>
      </c>
      <c r="C375" s="1"/>
      <c r="D375" s="13"/>
      <c r="E375" s="327"/>
    </row>
    <row r="376" spans="1:5" ht="15.75">
      <c r="A376" s="8">
        <v>306</v>
      </c>
      <c r="B376" s="1" t="s">
        <v>1096</v>
      </c>
      <c r="C376" s="1"/>
      <c r="D376" s="13"/>
      <c r="E376" s="328"/>
    </row>
    <row r="377" spans="1:5" ht="15.75">
      <c r="A377" s="8">
        <v>307</v>
      </c>
      <c r="B377" s="1" t="s">
        <v>1097</v>
      </c>
      <c r="C377" s="1"/>
      <c r="D377" s="13" t="s">
        <v>238</v>
      </c>
      <c r="E377" s="328"/>
    </row>
    <row r="378" spans="1:5" ht="15.75">
      <c r="A378" s="8">
        <v>308</v>
      </c>
      <c r="B378" s="1" t="s">
        <v>1098</v>
      </c>
      <c r="C378" s="1"/>
      <c r="D378" s="13" t="s">
        <v>238</v>
      </c>
      <c r="E378" s="328"/>
    </row>
    <row r="379" spans="1:5" ht="15.75">
      <c r="A379" s="8">
        <v>309</v>
      </c>
      <c r="B379" s="1" t="s">
        <v>1099</v>
      </c>
      <c r="C379" s="1"/>
      <c r="D379" s="13" t="s">
        <v>238</v>
      </c>
      <c r="E379" s="328"/>
    </row>
    <row r="380" spans="1:5" ht="15.75">
      <c r="A380" s="8">
        <v>310</v>
      </c>
      <c r="B380" s="1" t="s">
        <v>1100</v>
      </c>
      <c r="C380" s="1"/>
      <c r="D380" s="13" t="s">
        <v>238</v>
      </c>
      <c r="E380" s="328"/>
    </row>
    <row r="381" spans="1:5" ht="15.75">
      <c r="A381" s="8">
        <v>311</v>
      </c>
      <c r="B381" s="1" t="s">
        <v>1101</v>
      </c>
      <c r="C381" s="1"/>
      <c r="D381" s="13"/>
      <c r="E381" s="328"/>
    </row>
    <row r="382" spans="1:5" ht="15.75">
      <c r="A382" s="8">
        <v>312</v>
      </c>
      <c r="B382" s="1" t="s">
        <v>1102</v>
      </c>
      <c r="C382" s="1"/>
      <c r="D382" s="13"/>
      <c r="E382" s="328"/>
    </row>
    <row r="383" spans="1:5" ht="15.75">
      <c r="A383" s="8">
        <v>313</v>
      </c>
      <c r="B383" s="1" t="s">
        <v>1103</v>
      </c>
      <c r="C383" s="1"/>
      <c r="D383" s="13" t="s">
        <v>238</v>
      </c>
      <c r="E383" s="329"/>
    </row>
    <row r="384" spans="2:5" ht="15.75">
      <c r="B384" s="322" t="s">
        <v>1011</v>
      </c>
      <c r="C384" s="322"/>
      <c r="D384" s="322"/>
      <c r="E384" s="322"/>
    </row>
    <row r="385" spans="1:5" ht="15.75">
      <c r="A385" s="8">
        <v>314</v>
      </c>
      <c r="B385" s="1" t="s">
        <v>1002</v>
      </c>
      <c r="C385" s="9"/>
      <c r="D385" s="13"/>
      <c r="E385" s="326" t="s">
        <v>977</v>
      </c>
    </row>
    <row r="386" spans="1:5" ht="15.75">
      <c r="A386" s="8">
        <v>315</v>
      </c>
      <c r="B386" s="1" t="s">
        <v>1003</v>
      </c>
      <c r="C386" s="9">
        <v>6</v>
      </c>
      <c r="D386" s="13" t="s">
        <v>238</v>
      </c>
      <c r="E386" s="328"/>
    </row>
    <row r="387" spans="1:5" ht="15.75">
      <c r="A387" s="8">
        <v>316</v>
      </c>
      <c r="B387" s="1" t="s">
        <v>1004</v>
      </c>
      <c r="C387" s="9">
        <v>39.4</v>
      </c>
      <c r="D387" s="13" t="s">
        <v>238</v>
      </c>
      <c r="E387" s="328"/>
    </row>
    <row r="388" spans="1:5" ht="15.75">
      <c r="A388" s="8">
        <v>317</v>
      </c>
      <c r="B388" s="1" t="s">
        <v>1005</v>
      </c>
      <c r="C388" s="9">
        <v>42.9</v>
      </c>
      <c r="D388" s="13" t="s">
        <v>238</v>
      </c>
      <c r="E388" s="328"/>
    </row>
    <row r="389" spans="1:5" ht="15.75">
      <c r="A389" s="8">
        <v>318</v>
      </c>
      <c r="B389" s="1" t="s">
        <v>1006</v>
      </c>
      <c r="C389" s="9"/>
      <c r="D389" s="13"/>
      <c r="E389" s="328"/>
    </row>
    <row r="390" spans="1:5" ht="15.75">
      <c r="A390" s="8">
        <v>319</v>
      </c>
      <c r="B390" s="1" t="s">
        <v>1007</v>
      </c>
      <c r="C390" s="9">
        <v>19.3</v>
      </c>
      <c r="D390" s="13" t="s">
        <v>238</v>
      </c>
      <c r="E390" s="328"/>
    </row>
    <row r="391" spans="1:5" ht="15.75">
      <c r="A391" s="8">
        <v>320</v>
      </c>
      <c r="B391" s="1" t="s">
        <v>1008</v>
      </c>
      <c r="C391" s="9"/>
      <c r="D391" s="13"/>
      <c r="E391" s="328"/>
    </row>
    <row r="392" spans="1:5" ht="15.75">
      <c r="A392" s="8">
        <v>321</v>
      </c>
      <c r="B392" s="1" t="s">
        <v>1009</v>
      </c>
      <c r="C392" s="9">
        <v>14.2</v>
      </c>
      <c r="D392" s="13" t="s">
        <v>238</v>
      </c>
      <c r="E392" s="328"/>
    </row>
    <row r="393" spans="1:5" ht="15.75">
      <c r="A393" s="8">
        <v>322</v>
      </c>
      <c r="B393" s="1" t="s">
        <v>1010</v>
      </c>
      <c r="C393" s="9">
        <v>19.2</v>
      </c>
      <c r="D393" s="13" t="s">
        <v>238</v>
      </c>
      <c r="E393" s="329"/>
    </row>
    <row r="394" spans="2:5" ht="15.75">
      <c r="B394" s="322" t="s">
        <v>1017</v>
      </c>
      <c r="C394" s="322"/>
      <c r="D394" s="322"/>
      <c r="E394" s="322"/>
    </row>
    <row r="395" spans="1:5" ht="15.75">
      <c r="A395" s="8">
        <v>323</v>
      </c>
      <c r="B395" s="1" t="s">
        <v>1018</v>
      </c>
      <c r="C395" s="255">
        <v>12</v>
      </c>
      <c r="D395" s="13" t="s">
        <v>238</v>
      </c>
      <c r="E395" s="1"/>
    </row>
    <row r="396" spans="2:5" ht="15.75">
      <c r="B396" s="322" t="s">
        <v>277</v>
      </c>
      <c r="C396" s="322"/>
      <c r="D396" s="322"/>
      <c r="E396" s="322"/>
    </row>
    <row r="397" spans="1:5" ht="15.75">
      <c r="A397" s="8">
        <v>324</v>
      </c>
      <c r="B397" s="1" t="s">
        <v>269</v>
      </c>
      <c r="C397" s="1"/>
      <c r="D397" s="13" t="s">
        <v>238</v>
      </c>
      <c r="E397" s="1"/>
    </row>
    <row r="398" spans="2:5" ht="15.75">
      <c r="B398" s="322" t="s">
        <v>278</v>
      </c>
      <c r="C398" s="322"/>
      <c r="D398" s="322"/>
      <c r="E398" s="322"/>
    </row>
    <row r="399" spans="1:5" ht="15.75">
      <c r="A399" s="8">
        <v>325</v>
      </c>
      <c r="B399" s="1" t="s">
        <v>279</v>
      </c>
      <c r="C399" s="1"/>
      <c r="D399" s="13" t="s">
        <v>238</v>
      </c>
      <c r="E399" s="1"/>
    </row>
    <row r="400" spans="2:5" ht="15.75">
      <c r="B400" s="322" t="s">
        <v>280</v>
      </c>
      <c r="C400" s="322"/>
      <c r="D400" s="322"/>
      <c r="E400" s="322"/>
    </row>
    <row r="401" spans="1:5" ht="15.75">
      <c r="A401" s="8">
        <v>326</v>
      </c>
      <c r="B401" s="1" t="s">
        <v>279</v>
      </c>
      <c r="C401" s="1"/>
      <c r="D401" s="13" t="s">
        <v>238</v>
      </c>
      <c r="E401" s="1"/>
    </row>
    <row r="402" spans="2:5" ht="15.75">
      <c r="B402" s="345" t="s">
        <v>1053</v>
      </c>
      <c r="C402" s="346"/>
      <c r="D402" s="346"/>
      <c r="E402" s="347"/>
    </row>
    <row r="403" spans="1:5" ht="15.75">
      <c r="A403" s="8">
        <v>327</v>
      </c>
      <c r="B403" s="7" t="s">
        <v>1054</v>
      </c>
      <c r="C403" s="7"/>
      <c r="D403" s="7" t="s">
        <v>238</v>
      </c>
      <c r="E403" s="7"/>
    </row>
    <row r="404" spans="2:5" ht="15.75">
      <c r="B404" s="337" t="s">
        <v>1055</v>
      </c>
      <c r="C404" s="337"/>
      <c r="D404" s="337"/>
      <c r="E404" s="337"/>
    </row>
    <row r="405" spans="1:5" ht="15.75">
      <c r="A405" s="8">
        <v>328</v>
      </c>
      <c r="B405" s="261" t="s">
        <v>1056</v>
      </c>
      <c r="C405" s="259"/>
      <c r="D405" s="260" t="s">
        <v>238</v>
      </c>
      <c r="E405" s="259"/>
    </row>
    <row r="406" spans="2:5" ht="15.75">
      <c r="B406" s="337" t="s">
        <v>1062</v>
      </c>
      <c r="C406" s="337"/>
      <c r="D406" s="337"/>
      <c r="E406" s="337"/>
    </row>
    <row r="407" spans="1:5" ht="15.75">
      <c r="A407" s="8">
        <v>329</v>
      </c>
      <c r="B407" s="261" t="s">
        <v>1057</v>
      </c>
      <c r="C407" s="259"/>
      <c r="D407" s="259"/>
      <c r="E407" s="383"/>
    </row>
    <row r="408" spans="1:5" ht="15.75">
      <c r="A408" s="8">
        <v>330</v>
      </c>
      <c r="B408" s="261" t="s">
        <v>1058</v>
      </c>
      <c r="C408" s="259"/>
      <c r="D408" s="260"/>
      <c r="E408" s="328"/>
    </row>
    <row r="409" spans="1:5" ht="15.75">
      <c r="A409" s="8">
        <v>331</v>
      </c>
      <c r="B409" s="261" t="s">
        <v>1059</v>
      </c>
      <c r="C409" s="259"/>
      <c r="D409" s="260" t="s">
        <v>238</v>
      </c>
      <c r="E409" s="328"/>
    </row>
    <row r="410" spans="1:5" ht="15.75">
      <c r="A410" s="8">
        <v>332</v>
      </c>
      <c r="B410" s="261" t="s">
        <v>1060</v>
      </c>
      <c r="C410" s="259"/>
      <c r="D410" s="260" t="s">
        <v>238</v>
      </c>
      <c r="E410" s="328"/>
    </row>
    <row r="411" spans="1:5" ht="15.75">
      <c r="A411" s="8">
        <v>333</v>
      </c>
      <c r="B411" s="261" t="s">
        <v>1061</v>
      </c>
      <c r="C411" s="259"/>
      <c r="D411" s="259"/>
      <c r="E411" s="329"/>
    </row>
    <row r="412" spans="2:5" ht="15.75">
      <c r="B412" s="337" t="s">
        <v>1092</v>
      </c>
      <c r="C412" s="337"/>
      <c r="D412" s="337"/>
      <c r="E412" s="337"/>
    </row>
    <row r="413" spans="1:5" ht="15.75">
      <c r="A413" s="8">
        <v>334</v>
      </c>
      <c r="B413" s="261" t="s">
        <v>1063</v>
      </c>
      <c r="C413" s="259"/>
      <c r="D413" s="260" t="s">
        <v>240</v>
      </c>
      <c r="E413" s="381" t="s">
        <v>977</v>
      </c>
    </row>
    <row r="414" spans="1:5" ht="15.75">
      <c r="A414" s="8">
        <v>335</v>
      </c>
      <c r="B414" s="261" t="s">
        <v>1064</v>
      </c>
      <c r="C414" s="259"/>
      <c r="D414" s="260" t="s">
        <v>238</v>
      </c>
      <c r="E414" s="384"/>
    </row>
    <row r="415" spans="1:5" ht="15.75">
      <c r="A415" s="8">
        <v>336</v>
      </c>
      <c r="B415" s="261" t="s">
        <v>1065</v>
      </c>
      <c r="C415" s="259"/>
      <c r="D415" s="260" t="s">
        <v>238</v>
      </c>
      <c r="E415" s="385"/>
    </row>
    <row r="416" spans="2:5" ht="15.75">
      <c r="B416" s="337" t="s">
        <v>1066</v>
      </c>
      <c r="C416" s="337"/>
      <c r="D416" s="337"/>
      <c r="E416" s="337"/>
    </row>
    <row r="417" spans="1:6" ht="31.5" customHeight="1">
      <c r="A417" s="8">
        <v>337</v>
      </c>
      <c r="B417" s="261" t="s">
        <v>1056</v>
      </c>
      <c r="C417" s="259"/>
      <c r="D417" s="260" t="s">
        <v>238</v>
      </c>
      <c r="E417" s="265" t="s">
        <v>977</v>
      </c>
      <c r="F417" s="266"/>
    </row>
    <row r="418" spans="2:5" ht="15.75">
      <c r="B418" s="322" t="s">
        <v>1014</v>
      </c>
      <c r="C418" s="322"/>
      <c r="D418" s="322"/>
      <c r="E418" s="322"/>
    </row>
    <row r="419" spans="1:5" ht="47.25">
      <c r="A419" s="8">
        <v>338</v>
      </c>
      <c r="B419" s="1" t="s">
        <v>279</v>
      </c>
      <c r="C419" s="1">
        <v>24</v>
      </c>
      <c r="D419" s="13" t="s">
        <v>238</v>
      </c>
      <c r="E419" s="13" t="s">
        <v>977</v>
      </c>
    </row>
    <row r="420" spans="2:5" ht="15.75">
      <c r="B420" s="332" t="s">
        <v>1067</v>
      </c>
      <c r="C420" s="333"/>
      <c r="D420" s="333"/>
      <c r="E420" s="333"/>
    </row>
    <row r="421" spans="1:5" ht="15.75">
      <c r="A421" s="8">
        <v>339</v>
      </c>
      <c r="B421" s="263" t="s">
        <v>1068</v>
      </c>
      <c r="C421" s="256"/>
      <c r="D421" s="262" t="s">
        <v>238</v>
      </c>
      <c r="E421" s="379" t="s">
        <v>977</v>
      </c>
    </row>
    <row r="422" spans="1:5" ht="15.75">
      <c r="A422" s="8">
        <v>340</v>
      </c>
      <c r="B422" s="263" t="s">
        <v>1069</v>
      </c>
      <c r="C422" s="256"/>
      <c r="D422" s="262" t="s">
        <v>238</v>
      </c>
      <c r="E422" s="380"/>
    </row>
    <row r="423" spans="2:5" ht="15.75">
      <c r="B423" s="337" t="s">
        <v>1071</v>
      </c>
      <c r="C423" s="337"/>
      <c r="D423" s="337"/>
      <c r="E423" s="337"/>
    </row>
    <row r="424" spans="1:5" ht="15.75">
      <c r="A424" s="8">
        <v>341</v>
      </c>
      <c r="B424" s="261" t="s">
        <v>1070</v>
      </c>
      <c r="C424" s="259"/>
      <c r="D424" s="260" t="s">
        <v>238</v>
      </c>
      <c r="E424" s="381" t="s">
        <v>977</v>
      </c>
    </row>
    <row r="425" spans="1:5" ht="15.75">
      <c r="A425" s="8">
        <v>342</v>
      </c>
      <c r="B425" s="261" t="s">
        <v>1072</v>
      </c>
      <c r="C425" s="259"/>
      <c r="D425" s="260" t="s">
        <v>238</v>
      </c>
      <c r="E425" s="382"/>
    </row>
    <row r="426" spans="1:5" ht="15.75">
      <c r="A426" s="8">
        <v>343</v>
      </c>
      <c r="B426" s="337" t="s">
        <v>1073</v>
      </c>
      <c r="C426" s="337"/>
      <c r="D426" s="337"/>
      <c r="E426" s="337"/>
    </row>
    <row r="427" spans="1:5" ht="15.75">
      <c r="A427" s="8">
        <v>344</v>
      </c>
      <c r="B427" s="337" t="s">
        <v>1074</v>
      </c>
      <c r="C427" s="337"/>
      <c r="D427" s="337"/>
      <c r="E427" s="337"/>
    </row>
    <row r="428" spans="1:5" ht="15.75">
      <c r="A428" s="8">
        <v>345</v>
      </c>
      <c r="B428" s="337" t="s">
        <v>1075</v>
      </c>
      <c r="C428" s="337"/>
      <c r="D428" s="337"/>
      <c r="E428" s="337"/>
    </row>
    <row r="429" spans="1:5" ht="15.75">
      <c r="A429" s="8">
        <v>346</v>
      </c>
      <c r="B429" s="337" t="s">
        <v>1076</v>
      </c>
      <c r="C429" s="337"/>
      <c r="D429" s="337"/>
      <c r="E429" s="337"/>
    </row>
    <row r="430" spans="1:5" ht="15.75">
      <c r="A430" s="8">
        <v>347</v>
      </c>
      <c r="B430" s="337" t="s">
        <v>1077</v>
      </c>
      <c r="C430" s="337"/>
      <c r="D430" s="337"/>
      <c r="E430" s="337"/>
    </row>
    <row r="431" spans="1:5" ht="15.75">
      <c r="A431" s="8">
        <v>348</v>
      </c>
      <c r="B431" s="337" t="s">
        <v>1078</v>
      </c>
      <c r="C431" s="337"/>
      <c r="D431" s="337"/>
      <c r="E431" s="337"/>
    </row>
    <row r="432" spans="1:5" ht="15.75">
      <c r="A432" s="8">
        <v>349</v>
      </c>
      <c r="B432" s="337" t="s">
        <v>1079</v>
      </c>
      <c r="C432" s="337"/>
      <c r="D432" s="337"/>
      <c r="E432" s="337"/>
    </row>
    <row r="433" spans="2:5" ht="16.5" thickBot="1">
      <c r="B433" s="4"/>
      <c r="C433" s="4"/>
      <c r="D433" s="246"/>
      <c r="E433" s="4"/>
    </row>
    <row r="434" spans="2:5" s="4" customFormat="1" ht="16.5" thickBot="1">
      <c r="B434" s="334" t="s">
        <v>1109</v>
      </c>
      <c r="C434" s="335"/>
      <c r="D434" s="335"/>
      <c r="E434" s="336"/>
    </row>
    <row r="435" spans="2:5" ht="13.5">
      <c r="B435" s="374" t="s">
        <v>1093</v>
      </c>
      <c r="C435" s="375"/>
      <c r="D435" s="375"/>
      <c r="E435" s="375"/>
    </row>
    <row r="436" spans="2:5" ht="13.5">
      <c r="B436" s="376" t="s">
        <v>1105</v>
      </c>
      <c r="C436" s="377"/>
      <c r="D436" s="377"/>
      <c r="E436" s="378"/>
    </row>
    <row r="437" spans="2:3" ht="15.75">
      <c r="B437" s="3" t="s">
        <v>1106</v>
      </c>
      <c r="C437" s="12"/>
    </row>
    <row r="438" spans="2:5" ht="15.75">
      <c r="B438" s="4" t="s">
        <v>1107</v>
      </c>
      <c r="C438" s="4"/>
      <c r="D438" s="246"/>
      <c r="E438" s="4"/>
    </row>
    <row r="439" spans="2:5" ht="15.75">
      <c r="B439" s="4" t="s">
        <v>1108</v>
      </c>
      <c r="C439" s="4"/>
      <c r="D439" s="246"/>
      <c r="E439" s="4"/>
    </row>
    <row r="440" spans="2:5" ht="13.5">
      <c r="B440" s="369" t="s">
        <v>1110</v>
      </c>
      <c r="C440" s="355"/>
      <c r="D440" s="355"/>
      <c r="E440" s="355"/>
    </row>
    <row r="441" spans="2:5" ht="15.75">
      <c r="B441" s="4"/>
      <c r="C441" s="4"/>
      <c r="D441" s="246"/>
      <c r="E441" s="4"/>
    </row>
    <row r="442" spans="2:5" ht="15.75">
      <c r="B442" s="4" t="s">
        <v>1111</v>
      </c>
      <c r="C442" s="4"/>
      <c r="D442" s="370" t="s">
        <v>855</v>
      </c>
      <c r="E442" s="371"/>
    </row>
    <row r="443" spans="2:5" ht="15.75">
      <c r="B443" s="4"/>
      <c r="C443" s="4"/>
      <c r="D443" s="246"/>
      <c r="E443" s="4"/>
    </row>
    <row r="444" spans="2:5" ht="15.75">
      <c r="B444" s="4"/>
      <c r="C444" s="4"/>
      <c r="D444" s="246"/>
      <c r="E444" s="4"/>
    </row>
    <row r="445" spans="2:5" ht="15.75">
      <c r="B445" s="4"/>
      <c r="C445" s="4"/>
      <c r="D445" s="246"/>
      <c r="E445" s="4"/>
    </row>
    <row r="446" spans="2:5" ht="15.75">
      <c r="B446" s="4"/>
      <c r="C446" s="4"/>
      <c r="D446" s="246"/>
      <c r="E446" s="4"/>
    </row>
    <row r="447" spans="2:5" ht="15.75">
      <c r="B447" s="4"/>
      <c r="C447" s="4"/>
      <c r="D447" s="246"/>
      <c r="E447" s="4"/>
    </row>
    <row r="448" spans="2:5" ht="15.75">
      <c r="B448" s="4"/>
      <c r="C448" s="4"/>
      <c r="D448" s="246"/>
      <c r="E448" s="4"/>
    </row>
    <row r="449" spans="2:5" ht="15.75">
      <c r="B449" s="4"/>
      <c r="C449" s="4"/>
      <c r="D449" s="246"/>
      <c r="E449" s="4"/>
    </row>
    <row r="450" spans="2:5" ht="15.75">
      <c r="B450" s="4"/>
      <c r="C450" s="4"/>
      <c r="D450" s="246"/>
      <c r="E450" s="4"/>
    </row>
    <row r="451" spans="2:5" ht="15.75">
      <c r="B451" s="4"/>
      <c r="C451" s="4"/>
      <c r="D451" s="246"/>
      <c r="E451" s="4"/>
    </row>
    <row r="452" spans="2:5" ht="15.75">
      <c r="B452" s="4"/>
      <c r="C452" s="4"/>
      <c r="D452" s="246"/>
      <c r="E452" s="4"/>
    </row>
    <row r="453" spans="2:5" ht="15.75">
      <c r="B453" s="4"/>
      <c r="C453" s="4"/>
      <c r="D453" s="246"/>
      <c r="E453" s="4"/>
    </row>
    <row r="454" spans="2:5" ht="15.75">
      <c r="B454" s="4"/>
      <c r="C454" s="4"/>
      <c r="D454" s="246"/>
      <c r="E454" s="4"/>
    </row>
    <row r="455" spans="2:5" ht="15.75">
      <c r="B455" s="4"/>
      <c r="C455" s="4"/>
      <c r="D455" s="246"/>
      <c r="E455" s="4"/>
    </row>
    <row r="456" spans="2:5" ht="15.75">
      <c r="B456" s="4"/>
      <c r="C456" s="4"/>
      <c r="D456" s="246"/>
      <c r="E456" s="4"/>
    </row>
    <row r="457" spans="2:5" ht="15.75">
      <c r="B457" s="4"/>
      <c r="C457" s="4"/>
      <c r="D457" s="246"/>
      <c r="E457" s="4"/>
    </row>
    <row r="458" spans="2:5" ht="15.75">
      <c r="B458" s="4"/>
      <c r="C458" s="4"/>
      <c r="D458" s="246"/>
      <c r="E458" s="4"/>
    </row>
    <row r="459" spans="2:5" ht="15.75">
      <c r="B459" s="4"/>
      <c r="C459" s="4"/>
      <c r="D459" s="246"/>
      <c r="E459" s="4"/>
    </row>
    <row r="460" spans="2:5" ht="15.75">
      <c r="B460" s="4"/>
      <c r="C460" s="4"/>
      <c r="D460" s="246"/>
      <c r="E460" s="4"/>
    </row>
    <row r="461" spans="2:5" ht="15.75">
      <c r="B461" s="4"/>
      <c r="C461" s="4"/>
      <c r="D461" s="246"/>
      <c r="E461" s="4"/>
    </row>
    <row r="462" spans="2:5" ht="15.75">
      <c r="B462" s="4"/>
      <c r="C462" s="4"/>
      <c r="D462" s="246"/>
      <c r="E462" s="4"/>
    </row>
    <row r="463" spans="2:5" ht="15.75">
      <c r="B463" s="4"/>
      <c r="C463" s="4"/>
      <c r="D463" s="246"/>
      <c r="E463" s="4"/>
    </row>
    <row r="464" spans="2:5" ht="15.75">
      <c r="B464" s="4"/>
      <c r="C464" s="4"/>
      <c r="D464" s="246"/>
      <c r="E464" s="4"/>
    </row>
    <row r="465" spans="2:5" ht="15.75">
      <c r="B465" s="4"/>
      <c r="C465" s="4"/>
      <c r="D465" s="246"/>
      <c r="E465" s="4"/>
    </row>
    <row r="466" spans="2:5" ht="15.75">
      <c r="B466" s="4"/>
      <c r="C466" s="4"/>
      <c r="D466" s="246"/>
      <c r="E466" s="4"/>
    </row>
    <row r="467" spans="2:5" ht="15.75">
      <c r="B467" s="4"/>
      <c r="C467" s="4"/>
      <c r="D467" s="246"/>
      <c r="E467" s="4"/>
    </row>
    <row r="468" spans="2:5" ht="15.75">
      <c r="B468" s="4"/>
      <c r="C468" s="4"/>
      <c r="D468" s="246"/>
      <c r="E468" s="4"/>
    </row>
    <row r="469" spans="2:5" ht="15.75">
      <c r="B469" s="4"/>
      <c r="C469" s="4"/>
      <c r="D469" s="246"/>
      <c r="E469" s="4"/>
    </row>
    <row r="470" spans="2:5" ht="15.75">
      <c r="B470" s="4"/>
      <c r="C470" s="4"/>
      <c r="D470" s="246"/>
      <c r="E470" s="4"/>
    </row>
    <row r="471" spans="2:5" ht="15.75">
      <c r="B471" s="4"/>
      <c r="C471" s="4"/>
      <c r="D471" s="246"/>
      <c r="E471" s="4"/>
    </row>
    <row r="472" spans="2:5" ht="15.75">
      <c r="B472" s="4"/>
      <c r="C472" s="4"/>
      <c r="D472" s="246"/>
      <c r="E472" s="4"/>
    </row>
    <row r="473" spans="2:5" ht="15.75">
      <c r="B473" s="4"/>
      <c r="C473" s="4"/>
      <c r="D473" s="246"/>
      <c r="E473" s="4"/>
    </row>
    <row r="474" spans="2:5" ht="15.75">
      <c r="B474" s="4"/>
      <c r="C474" s="4"/>
      <c r="D474" s="246"/>
      <c r="E474" s="4"/>
    </row>
    <row r="475" spans="2:5" ht="15.75">
      <c r="B475" s="4"/>
      <c r="C475" s="4"/>
      <c r="D475" s="246"/>
      <c r="E475" s="4"/>
    </row>
    <row r="476" spans="2:5" ht="15.75">
      <c r="B476" s="4"/>
      <c r="C476" s="4"/>
      <c r="D476" s="246"/>
      <c r="E476" s="4"/>
    </row>
    <row r="477" spans="2:5" ht="15.75">
      <c r="B477" s="4"/>
      <c r="C477" s="4"/>
      <c r="D477" s="246"/>
      <c r="E477" s="4"/>
    </row>
    <row r="478" spans="2:5" ht="15.75">
      <c r="B478" s="4"/>
      <c r="C478" s="4"/>
      <c r="D478" s="246"/>
      <c r="E478" s="4"/>
    </row>
    <row r="479" spans="2:5" ht="15.75">
      <c r="B479" s="4"/>
      <c r="C479" s="4"/>
      <c r="D479" s="246"/>
      <c r="E479" s="4"/>
    </row>
    <row r="480" spans="2:5" ht="15.75">
      <c r="B480" s="4"/>
      <c r="C480" s="4"/>
      <c r="D480" s="246"/>
      <c r="E480" s="4"/>
    </row>
    <row r="481" spans="2:5" ht="15.75">
      <c r="B481" s="4"/>
      <c r="C481" s="4"/>
      <c r="D481" s="246"/>
      <c r="E481" s="4"/>
    </row>
    <row r="482" spans="2:5" ht="15.75">
      <c r="B482" s="4"/>
      <c r="C482" s="4"/>
      <c r="D482" s="246"/>
      <c r="E482" s="4"/>
    </row>
    <row r="483" spans="2:5" ht="15.75">
      <c r="B483" s="4"/>
      <c r="C483" s="4"/>
      <c r="D483" s="246"/>
      <c r="E483" s="4"/>
    </row>
    <row r="484" spans="2:5" ht="15.75">
      <c r="B484" s="4"/>
      <c r="C484" s="4"/>
      <c r="D484" s="246"/>
      <c r="E484" s="4"/>
    </row>
    <row r="485" spans="2:5" ht="15.75">
      <c r="B485" s="4"/>
      <c r="C485" s="4"/>
      <c r="D485" s="246"/>
      <c r="E485" s="4"/>
    </row>
    <row r="486" spans="2:5" ht="15.75">
      <c r="B486" s="4"/>
      <c r="C486" s="4"/>
      <c r="D486" s="246"/>
      <c r="E486" s="4"/>
    </row>
    <row r="487" spans="2:5" ht="15.75">
      <c r="B487" s="4"/>
      <c r="C487" s="4"/>
      <c r="D487" s="246"/>
      <c r="E487" s="4"/>
    </row>
    <row r="488" spans="2:5" ht="15.75">
      <c r="B488" s="4"/>
      <c r="C488" s="4"/>
      <c r="D488" s="246"/>
      <c r="E488" s="4"/>
    </row>
    <row r="489" spans="2:5" ht="15.75">
      <c r="B489" s="4"/>
      <c r="C489" s="4"/>
      <c r="D489" s="246"/>
      <c r="E489" s="4"/>
    </row>
    <row r="490" spans="2:5" ht="15.75">
      <c r="B490" s="4"/>
      <c r="C490" s="4"/>
      <c r="D490" s="246"/>
      <c r="E490" s="4"/>
    </row>
    <row r="491" spans="2:5" ht="15.75">
      <c r="B491" s="4"/>
      <c r="C491" s="4"/>
      <c r="D491" s="246"/>
      <c r="E491" s="4"/>
    </row>
    <row r="492" spans="2:5" ht="15.75">
      <c r="B492" s="4"/>
      <c r="C492" s="4"/>
      <c r="D492" s="246"/>
      <c r="E492" s="4"/>
    </row>
    <row r="493" spans="2:5" ht="15.75">
      <c r="B493" s="4"/>
      <c r="C493" s="4"/>
      <c r="D493" s="246"/>
      <c r="E493" s="4"/>
    </row>
    <row r="494" spans="2:5" ht="15.75">
      <c r="B494" s="4"/>
      <c r="C494" s="4"/>
      <c r="D494" s="246"/>
      <c r="E494" s="4"/>
    </row>
    <row r="495" spans="2:5" ht="15.75">
      <c r="B495" s="4"/>
      <c r="C495" s="4"/>
      <c r="D495" s="246"/>
      <c r="E495" s="4"/>
    </row>
    <row r="496" spans="2:5" ht="15.75">
      <c r="B496" s="4"/>
      <c r="C496" s="4"/>
      <c r="D496" s="246"/>
      <c r="E496" s="4"/>
    </row>
    <row r="497" spans="2:5" ht="15.75">
      <c r="B497" s="4"/>
      <c r="C497" s="4"/>
      <c r="D497" s="246"/>
      <c r="E497" s="4"/>
    </row>
    <row r="498" spans="2:5" ht="15.75">
      <c r="B498" s="4"/>
      <c r="C498" s="4"/>
      <c r="D498" s="246"/>
      <c r="E498" s="4"/>
    </row>
    <row r="499" spans="2:5" ht="15.75">
      <c r="B499" s="4"/>
      <c r="C499" s="4"/>
      <c r="D499" s="246"/>
      <c r="E499" s="4"/>
    </row>
    <row r="500" spans="2:5" ht="15.75">
      <c r="B500" s="4"/>
      <c r="C500" s="4"/>
      <c r="D500" s="246"/>
      <c r="E500" s="4"/>
    </row>
    <row r="501" spans="2:5" ht="15.75">
      <c r="B501" s="4"/>
      <c r="C501" s="4"/>
      <c r="D501" s="246"/>
      <c r="E501" s="4"/>
    </row>
    <row r="502" spans="2:5" ht="15.75">
      <c r="B502" s="4"/>
      <c r="C502" s="4"/>
      <c r="D502" s="246"/>
      <c r="E502" s="4"/>
    </row>
    <row r="503" spans="2:5" ht="15.75">
      <c r="B503" s="4"/>
      <c r="C503" s="4"/>
      <c r="D503" s="246"/>
      <c r="E503" s="4"/>
    </row>
    <row r="504" spans="2:5" ht="15.75">
      <c r="B504" s="4"/>
      <c r="C504" s="4"/>
      <c r="D504" s="246"/>
      <c r="E504" s="4"/>
    </row>
    <row r="505" spans="2:5" ht="15.75">
      <c r="B505" s="4"/>
      <c r="C505" s="4"/>
      <c r="D505" s="246"/>
      <c r="E505" s="4"/>
    </row>
    <row r="506" spans="2:5" ht="15.75">
      <c r="B506" s="4"/>
      <c r="C506" s="4"/>
      <c r="D506" s="246"/>
      <c r="E506" s="4"/>
    </row>
    <row r="507" spans="2:5" ht="15.75">
      <c r="B507" s="4"/>
      <c r="C507" s="4"/>
      <c r="D507" s="246"/>
      <c r="E507" s="4"/>
    </row>
    <row r="508" spans="2:5" ht="15.75">
      <c r="B508" s="4"/>
      <c r="C508" s="4"/>
      <c r="D508" s="246"/>
      <c r="E508" s="4"/>
    </row>
    <row r="509" spans="2:5" ht="15.75">
      <c r="B509" s="4"/>
      <c r="C509" s="4"/>
      <c r="D509" s="246"/>
      <c r="E509" s="4"/>
    </row>
    <row r="510" spans="2:5" ht="15.75">
      <c r="B510" s="4"/>
      <c r="C510" s="4"/>
      <c r="D510" s="246"/>
      <c r="E510" s="4"/>
    </row>
    <row r="511" spans="2:5" ht="15.75">
      <c r="B511" s="4"/>
      <c r="C511" s="4"/>
      <c r="D511" s="246"/>
      <c r="E511" s="4"/>
    </row>
    <row r="512" spans="2:5" ht="15.75">
      <c r="B512" s="4"/>
      <c r="C512" s="4"/>
      <c r="D512" s="246"/>
      <c r="E512" s="4"/>
    </row>
    <row r="513" spans="2:5" ht="15.75">
      <c r="B513" s="4"/>
      <c r="C513" s="4"/>
      <c r="D513" s="246"/>
      <c r="E513" s="4"/>
    </row>
    <row r="514" spans="2:5" ht="15.75">
      <c r="B514" s="4"/>
      <c r="C514" s="4"/>
      <c r="D514" s="246"/>
      <c r="E514" s="4"/>
    </row>
    <row r="515" spans="2:5" ht="15.75">
      <c r="B515" s="4"/>
      <c r="C515" s="4"/>
      <c r="D515" s="246"/>
      <c r="E515" s="4"/>
    </row>
    <row r="516" spans="2:5" ht="15.75">
      <c r="B516" s="4"/>
      <c r="C516" s="4"/>
      <c r="D516" s="246"/>
      <c r="E516" s="4"/>
    </row>
    <row r="517" spans="2:5" ht="15.75">
      <c r="B517" s="4"/>
      <c r="C517" s="4"/>
      <c r="D517" s="246"/>
      <c r="E517" s="4"/>
    </row>
    <row r="518" spans="2:5" ht="15.75">
      <c r="B518" s="4"/>
      <c r="C518" s="4"/>
      <c r="D518" s="246"/>
      <c r="E518" s="4"/>
    </row>
    <row r="519" spans="2:5" ht="15.75">
      <c r="B519" s="4"/>
      <c r="C519" s="4"/>
      <c r="D519" s="246"/>
      <c r="E519" s="4"/>
    </row>
    <row r="520" spans="2:5" ht="15.75">
      <c r="B520" s="4"/>
      <c r="C520" s="4"/>
      <c r="D520" s="246"/>
      <c r="E520" s="4"/>
    </row>
    <row r="521" spans="2:5" ht="15.75">
      <c r="B521" s="4"/>
      <c r="C521" s="4"/>
      <c r="D521" s="246"/>
      <c r="E521" s="4"/>
    </row>
    <row r="522" spans="2:5" ht="15.75">
      <c r="B522" s="4"/>
      <c r="C522" s="4"/>
      <c r="D522" s="246"/>
      <c r="E522" s="4"/>
    </row>
    <row r="523" spans="2:5" ht="15.75">
      <c r="B523" s="4"/>
      <c r="C523" s="4"/>
      <c r="D523" s="246"/>
      <c r="E523" s="4"/>
    </row>
    <row r="524" spans="2:5" ht="15.75">
      <c r="B524" s="4"/>
      <c r="C524" s="4"/>
      <c r="D524" s="246"/>
      <c r="E524" s="4"/>
    </row>
    <row r="525" spans="2:5" ht="15.75">
      <c r="B525" s="4"/>
      <c r="C525" s="4"/>
      <c r="D525" s="246"/>
      <c r="E525" s="4"/>
    </row>
    <row r="526" spans="2:5" ht="15.75">
      <c r="B526" s="4"/>
      <c r="C526" s="4"/>
      <c r="D526" s="246"/>
      <c r="E526" s="4"/>
    </row>
    <row r="527" spans="2:5" ht="15.75">
      <c r="B527" s="4"/>
      <c r="C527" s="4"/>
      <c r="D527" s="246"/>
      <c r="E527" s="4"/>
    </row>
    <row r="528" spans="2:5" ht="15.75">
      <c r="B528" s="4"/>
      <c r="C528" s="4"/>
      <c r="D528" s="246"/>
      <c r="E528" s="4"/>
    </row>
    <row r="529" spans="2:5" ht="15.75">
      <c r="B529" s="4"/>
      <c r="C529" s="4"/>
      <c r="D529" s="246"/>
      <c r="E529" s="4"/>
    </row>
    <row r="530" spans="2:5" ht="15.75">
      <c r="B530" s="4"/>
      <c r="C530" s="4"/>
      <c r="D530" s="246"/>
      <c r="E530" s="4"/>
    </row>
    <row r="531" spans="2:5" ht="15.75">
      <c r="B531" s="4"/>
      <c r="C531" s="4"/>
      <c r="D531" s="246"/>
      <c r="E531" s="4"/>
    </row>
    <row r="532" spans="2:5" ht="15.75">
      <c r="B532" s="4"/>
      <c r="C532" s="4"/>
      <c r="D532" s="246"/>
      <c r="E532" s="4"/>
    </row>
    <row r="533" spans="2:5" ht="15.75">
      <c r="B533" s="4"/>
      <c r="C533" s="4"/>
      <c r="D533" s="246"/>
      <c r="E533" s="4"/>
    </row>
    <row r="534" spans="2:5" ht="15.75">
      <c r="B534" s="4"/>
      <c r="C534" s="4"/>
      <c r="D534" s="246"/>
      <c r="E534" s="4"/>
    </row>
    <row r="535" spans="2:5" ht="15.75">
      <c r="B535" s="4"/>
      <c r="C535" s="4"/>
      <c r="D535" s="246"/>
      <c r="E535" s="4"/>
    </row>
    <row r="536" spans="2:5" ht="15.75">
      <c r="B536" s="4"/>
      <c r="C536" s="4"/>
      <c r="D536" s="246"/>
      <c r="E536" s="4"/>
    </row>
    <row r="537" spans="2:5" ht="15.75">
      <c r="B537" s="4"/>
      <c r="C537" s="4"/>
      <c r="D537" s="246"/>
      <c r="E537" s="4"/>
    </row>
    <row r="538" spans="2:5" ht="15.75">
      <c r="B538" s="4"/>
      <c r="C538" s="4"/>
      <c r="D538" s="246"/>
      <c r="E538" s="4"/>
    </row>
    <row r="539" spans="2:5" ht="15.75">
      <c r="B539" s="4"/>
      <c r="C539" s="4"/>
      <c r="D539" s="246"/>
      <c r="E539" s="4"/>
    </row>
    <row r="540" spans="2:5" ht="15.75">
      <c r="B540" s="4"/>
      <c r="C540" s="4"/>
      <c r="D540" s="246"/>
      <c r="E540" s="4"/>
    </row>
    <row r="541" spans="2:5" ht="15.75">
      <c r="B541" s="4"/>
      <c r="C541" s="4"/>
      <c r="D541" s="246"/>
      <c r="E541" s="4"/>
    </row>
    <row r="542" spans="2:5" ht="15.75">
      <c r="B542" s="4"/>
      <c r="C542" s="4"/>
      <c r="D542" s="246"/>
      <c r="E542" s="4"/>
    </row>
    <row r="543" spans="2:5" ht="15.75">
      <c r="B543" s="4"/>
      <c r="C543" s="4"/>
      <c r="D543" s="246"/>
      <c r="E543" s="4"/>
    </row>
    <row r="544" spans="2:5" ht="15.75">
      <c r="B544" s="4"/>
      <c r="C544" s="4"/>
      <c r="D544" s="246"/>
      <c r="E544" s="4"/>
    </row>
    <row r="545" spans="2:5" ht="15.75">
      <c r="B545" s="4"/>
      <c r="C545" s="4"/>
      <c r="D545" s="246"/>
      <c r="E545" s="4"/>
    </row>
    <row r="546" spans="2:5" ht="15.75">
      <c r="B546" s="4"/>
      <c r="C546" s="4"/>
      <c r="D546" s="246"/>
      <c r="E546" s="4"/>
    </row>
    <row r="547" spans="2:5" ht="15.75">
      <c r="B547" s="4"/>
      <c r="C547" s="4"/>
      <c r="D547" s="246"/>
      <c r="E547" s="4"/>
    </row>
  </sheetData>
  <sheetProtection/>
  <mergeCells count="111">
    <mergeCell ref="B440:E440"/>
    <mergeCell ref="D442:E442"/>
    <mergeCell ref="B1:E1"/>
    <mergeCell ref="B206:E206"/>
    <mergeCell ref="B435:E435"/>
    <mergeCell ref="B436:E436"/>
    <mergeCell ref="E421:E422"/>
    <mergeCell ref="E424:E425"/>
    <mergeCell ref="E407:E411"/>
    <mergeCell ref="E413:E415"/>
    <mergeCell ref="B3:E3"/>
    <mergeCell ref="B6:E6"/>
    <mergeCell ref="B8:E8"/>
    <mergeCell ref="B127:E127"/>
    <mergeCell ref="B10:E10"/>
    <mergeCell ref="B12:E12"/>
    <mergeCell ref="B74:E74"/>
    <mergeCell ref="E94:E95"/>
    <mergeCell ref="B14:E14"/>
    <mergeCell ref="B27:E27"/>
    <mergeCell ref="B47:E47"/>
    <mergeCell ref="B54:E54"/>
    <mergeCell ref="B61:E61"/>
    <mergeCell ref="B65:E65"/>
    <mergeCell ref="E29:E35"/>
    <mergeCell ref="E36:E46"/>
    <mergeCell ref="B76:E76"/>
    <mergeCell ref="B80:E80"/>
    <mergeCell ref="B84:E84"/>
    <mergeCell ref="B88:E88"/>
    <mergeCell ref="B93:E93"/>
    <mergeCell ref="B98:E98"/>
    <mergeCell ref="B78:E78"/>
    <mergeCell ref="B102:E102"/>
    <mergeCell ref="B106:E106"/>
    <mergeCell ref="B112:E112"/>
    <mergeCell ref="B122:E122"/>
    <mergeCell ref="B125:E125"/>
    <mergeCell ref="E340:E341"/>
    <mergeCell ref="E331:E338"/>
    <mergeCell ref="E137:E146"/>
    <mergeCell ref="E149:E158"/>
    <mergeCell ref="B129:E129"/>
    <mergeCell ref="B134:E134"/>
    <mergeCell ref="B189:E189"/>
    <mergeCell ref="B136:E136"/>
    <mergeCell ref="B161:E161"/>
    <mergeCell ref="B132:E132"/>
    <mergeCell ref="E162:E176"/>
    <mergeCell ref="B177:E177"/>
    <mergeCell ref="B182:E182"/>
    <mergeCell ref="B185:E185"/>
    <mergeCell ref="B194:E194"/>
    <mergeCell ref="B201:E201"/>
    <mergeCell ref="B204:E204"/>
    <mergeCell ref="B208:E208"/>
    <mergeCell ref="B212:E212"/>
    <mergeCell ref="B225:E225"/>
    <mergeCell ref="B232:E232"/>
    <mergeCell ref="B236:E236"/>
    <mergeCell ref="B243:E243"/>
    <mergeCell ref="B247:E247"/>
    <mergeCell ref="B252:E252"/>
    <mergeCell ref="B260:E260"/>
    <mergeCell ref="B254:E254"/>
    <mergeCell ref="B270:E270"/>
    <mergeCell ref="B281:E281"/>
    <mergeCell ref="B402:E402"/>
    <mergeCell ref="B288:E288"/>
    <mergeCell ref="B293:E293"/>
    <mergeCell ref="B296:E296"/>
    <mergeCell ref="B339:E339"/>
    <mergeCell ref="B344:E344"/>
    <mergeCell ref="B346:E346"/>
    <mergeCell ref="B300:E300"/>
    <mergeCell ref="B310:E310"/>
    <mergeCell ref="B315:E315"/>
    <mergeCell ref="B366:E366"/>
    <mergeCell ref="B360:E360"/>
    <mergeCell ref="B373:E373"/>
    <mergeCell ref="B398:E398"/>
    <mergeCell ref="E385:E393"/>
    <mergeCell ref="B342:E342"/>
    <mergeCell ref="E361:E363"/>
    <mergeCell ref="E347:E359"/>
    <mergeCell ref="B368:E368"/>
    <mergeCell ref="B384:E384"/>
    <mergeCell ref="B426:E426"/>
    <mergeCell ref="B427:E427"/>
    <mergeCell ref="B404:E404"/>
    <mergeCell ref="B406:E406"/>
    <mergeCell ref="B412:E412"/>
    <mergeCell ref="B416:E416"/>
    <mergeCell ref="B423:E423"/>
    <mergeCell ref="B420:E420"/>
    <mergeCell ref="B434:E434"/>
    <mergeCell ref="B432:E432"/>
    <mergeCell ref="B428:E428"/>
    <mergeCell ref="B429:E429"/>
    <mergeCell ref="B430:E430"/>
    <mergeCell ref="B431:E431"/>
    <mergeCell ref="B418:E418"/>
    <mergeCell ref="B258:E258"/>
    <mergeCell ref="B394:E394"/>
    <mergeCell ref="E374:E383"/>
    <mergeCell ref="E369:E370"/>
    <mergeCell ref="B330:E330"/>
    <mergeCell ref="B364:E364"/>
    <mergeCell ref="B396:E396"/>
    <mergeCell ref="B400:E400"/>
    <mergeCell ref="B371:E371"/>
  </mergeCells>
  <printOptions/>
  <pageMargins left="0.4" right="0.24" top="0.5" bottom="0.49" header="0.5" footer="0.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1"/>
  <sheetViews>
    <sheetView tabSelected="1" workbookViewId="0" topLeftCell="A1">
      <pane xSplit="9" ySplit="7" topLeftCell="J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360" sqref="A360:J422"/>
    </sheetView>
  </sheetViews>
  <sheetFormatPr defaultColWidth="9.00390625" defaultRowHeight="12.75"/>
  <cols>
    <col min="1" max="1" width="6.125" style="23" bestFit="1" customWidth="1"/>
    <col min="2" max="2" width="26.875" style="29" customWidth="1"/>
    <col min="3" max="3" width="34.75390625" style="15" customWidth="1"/>
    <col min="4" max="4" width="6.125" style="15" customWidth="1"/>
    <col min="5" max="5" width="5.875" style="15" customWidth="1"/>
    <col min="6" max="6" width="6.125" style="15" customWidth="1"/>
    <col min="7" max="7" width="9.875" style="15" customWidth="1"/>
    <col min="8" max="8" width="7.375" style="0" customWidth="1"/>
    <col min="9" max="9" width="13.625" style="0" customWidth="1"/>
  </cols>
  <sheetData>
    <row r="1" spans="1:9" ht="51" customHeight="1" thickBot="1">
      <c r="A1" s="386" t="s">
        <v>1187</v>
      </c>
      <c r="B1" s="387"/>
      <c r="C1" s="387"/>
      <c r="D1" s="387"/>
      <c r="E1" s="387"/>
      <c r="F1" s="387"/>
      <c r="G1" s="387"/>
      <c r="H1" s="355"/>
      <c r="I1" s="355"/>
    </row>
    <row r="2" spans="1:9" ht="51">
      <c r="A2" s="24" t="s">
        <v>324</v>
      </c>
      <c r="B2" s="26"/>
      <c r="C2" s="16" t="s">
        <v>326</v>
      </c>
      <c r="D2" s="16" t="s">
        <v>339</v>
      </c>
      <c r="E2" s="16" t="s">
        <v>340</v>
      </c>
      <c r="F2" s="16" t="s">
        <v>342</v>
      </c>
      <c r="G2" s="16" t="s">
        <v>1155</v>
      </c>
      <c r="H2" s="17" t="s">
        <v>336</v>
      </c>
      <c r="I2" s="17" t="s">
        <v>1114</v>
      </c>
    </row>
    <row r="3" spans="1:9" s="23" customFormat="1" ht="12.7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296" customFormat="1" ht="15.75">
      <c r="A4" s="388" t="s">
        <v>856</v>
      </c>
      <c r="B4" s="389"/>
      <c r="C4" s="390"/>
      <c r="D4" s="294"/>
      <c r="E4" s="294"/>
      <c r="F4" s="294"/>
      <c r="G4" s="294">
        <f>SUM(G5:G6)</f>
        <v>50.8</v>
      </c>
      <c r="H4" s="295">
        <f>SUM(H5:H6)</f>
        <v>94.2</v>
      </c>
      <c r="I4" s="295">
        <f>SUM(I5:I6)</f>
        <v>115</v>
      </c>
    </row>
    <row r="5" spans="1:9" s="71" customFormat="1" ht="78.75">
      <c r="A5" s="176">
        <v>1</v>
      </c>
      <c r="B5" s="178" t="s">
        <v>888</v>
      </c>
      <c r="C5" s="83" t="s">
        <v>1130</v>
      </c>
      <c r="D5" s="83">
        <v>4</v>
      </c>
      <c r="E5" s="83">
        <v>5.2</v>
      </c>
      <c r="F5" s="83">
        <v>3.5</v>
      </c>
      <c r="G5" s="83">
        <f>D5*E5</f>
        <v>20.8</v>
      </c>
      <c r="H5" s="84">
        <f>6*6.7</f>
        <v>40.2</v>
      </c>
      <c r="I5" s="84">
        <v>65</v>
      </c>
    </row>
    <row r="6" spans="1:9" s="270" customFormat="1" ht="63">
      <c r="A6" s="233">
        <v>2</v>
      </c>
      <c r="B6" s="201" t="s">
        <v>889</v>
      </c>
      <c r="C6" s="210" t="s">
        <v>1119</v>
      </c>
      <c r="D6" s="210">
        <v>10</v>
      </c>
      <c r="E6" s="210">
        <v>3</v>
      </c>
      <c r="F6" s="210"/>
      <c r="G6" s="210">
        <f>D6*E6</f>
        <v>30</v>
      </c>
      <c r="H6" s="211">
        <f>12*4.5</f>
        <v>54</v>
      </c>
      <c r="I6" s="211">
        <v>50</v>
      </c>
    </row>
    <row r="7" spans="1:9" s="270" customFormat="1" ht="15.75">
      <c r="A7" s="391" t="s">
        <v>531</v>
      </c>
      <c r="B7" s="392"/>
      <c r="C7" s="393"/>
      <c r="D7" s="297"/>
      <c r="E7" s="297"/>
      <c r="F7" s="297"/>
      <c r="G7" s="297">
        <f>SUM(G8)</f>
        <v>4.5</v>
      </c>
      <c r="H7" s="211">
        <f>SUM(H8)</f>
        <v>17.5</v>
      </c>
      <c r="I7" s="212">
        <f>SUM(I8)</f>
        <v>0</v>
      </c>
    </row>
    <row r="8" spans="1:9" s="71" customFormat="1" ht="63">
      <c r="A8" s="176">
        <v>3</v>
      </c>
      <c r="B8" s="121" t="s">
        <v>3</v>
      </c>
      <c r="C8" s="83" t="s">
        <v>850</v>
      </c>
      <c r="D8" s="83">
        <v>3</v>
      </c>
      <c r="E8" s="83">
        <v>1.5</v>
      </c>
      <c r="F8" s="83">
        <v>2.7</v>
      </c>
      <c r="G8" s="83">
        <f>D8*E8</f>
        <v>4.5</v>
      </c>
      <c r="H8" s="84">
        <f>5*3.5</f>
        <v>17.5</v>
      </c>
      <c r="I8" s="84"/>
    </row>
    <row r="9" spans="1:9" s="270" customFormat="1" ht="15.75">
      <c r="A9" s="391" t="s">
        <v>4</v>
      </c>
      <c r="B9" s="392"/>
      <c r="C9" s="393"/>
      <c r="D9" s="297"/>
      <c r="E9" s="297"/>
      <c r="F9" s="297"/>
      <c r="G9" s="297">
        <f>SUM(G10)</f>
        <v>18</v>
      </c>
      <c r="H9" s="211">
        <f>SUM(H10)</f>
        <v>39</v>
      </c>
      <c r="I9" s="212">
        <f>SUM(I10)</f>
        <v>0</v>
      </c>
    </row>
    <row r="10" spans="1:9" s="71" customFormat="1" ht="78.75">
      <c r="A10" s="176">
        <v>4</v>
      </c>
      <c r="B10" s="178" t="s">
        <v>5</v>
      </c>
      <c r="C10" s="83" t="s">
        <v>1136</v>
      </c>
      <c r="D10" s="83">
        <v>4.5</v>
      </c>
      <c r="E10" s="83">
        <v>4</v>
      </c>
      <c r="F10" s="83">
        <v>2.75</v>
      </c>
      <c r="G10" s="83">
        <f>D10*E10</f>
        <v>18</v>
      </c>
      <c r="H10" s="84">
        <f>6.5*6</f>
        <v>39</v>
      </c>
      <c r="I10" s="84"/>
    </row>
    <row r="11" spans="1:9" s="270" customFormat="1" ht="15.75">
      <c r="A11" s="391" t="s">
        <v>8</v>
      </c>
      <c r="B11" s="392"/>
      <c r="C11" s="393"/>
      <c r="D11" s="297"/>
      <c r="E11" s="297"/>
      <c r="F11" s="297"/>
      <c r="G11" s="297">
        <f>SUM(G12)</f>
        <v>46.64</v>
      </c>
      <c r="H11" s="211">
        <f>SUM(H12)</f>
        <v>75.6</v>
      </c>
      <c r="I11" s="212">
        <f>SUM(I12)</f>
        <v>0</v>
      </c>
    </row>
    <row r="12" spans="1:9" s="71" customFormat="1" ht="94.5">
      <c r="A12" s="176">
        <v>5</v>
      </c>
      <c r="B12" s="178" t="s">
        <v>9</v>
      </c>
      <c r="C12" s="83" t="s">
        <v>1135</v>
      </c>
      <c r="D12" s="83">
        <v>10.6</v>
      </c>
      <c r="E12" s="83">
        <v>4.4</v>
      </c>
      <c r="F12" s="83">
        <v>2.75</v>
      </c>
      <c r="G12" s="83">
        <f aca="true" t="shared" si="0" ref="G12:G22">D12*E12</f>
        <v>46.64</v>
      </c>
      <c r="H12" s="84">
        <f>12.6*6</f>
        <v>75.6</v>
      </c>
      <c r="I12" s="84"/>
    </row>
    <row r="13" spans="1:9" s="71" customFormat="1" ht="15.75">
      <c r="A13" s="391" t="s">
        <v>10</v>
      </c>
      <c r="B13" s="394"/>
      <c r="C13" s="395"/>
      <c r="D13" s="168"/>
      <c r="E13" s="168"/>
      <c r="F13" s="168"/>
      <c r="G13" s="282">
        <f t="shared" si="0"/>
        <v>0</v>
      </c>
      <c r="H13" s="70"/>
      <c r="I13" s="70"/>
    </row>
    <row r="14" spans="1:9" s="71" customFormat="1" ht="15.75">
      <c r="A14" s="176">
        <v>6</v>
      </c>
      <c r="B14" s="178" t="s">
        <v>11</v>
      </c>
      <c r="C14" s="83" t="s">
        <v>389</v>
      </c>
      <c r="D14" s="83"/>
      <c r="E14" s="83"/>
      <c r="F14" s="83"/>
      <c r="G14" s="83">
        <f t="shared" si="0"/>
        <v>0</v>
      </c>
      <c r="H14" s="70"/>
      <c r="I14" s="70"/>
    </row>
    <row r="15" spans="1:9" s="270" customFormat="1" ht="15.75">
      <c r="A15" s="391" t="s">
        <v>12</v>
      </c>
      <c r="B15" s="392"/>
      <c r="C15" s="393"/>
      <c r="D15" s="297"/>
      <c r="E15" s="297"/>
      <c r="F15" s="297"/>
      <c r="G15" s="300">
        <f>SUM(G16:G27)</f>
        <v>249.01</v>
      </c>
      <c r="H15" s="212">
        <f>SUM(H16:H27)</f>
        <v>439.1</v>
      </c>
      <c r="I15" s="212">
        <f>SUM(I16:I27)</f>
        <v>923.4200000000001</v>
      </c>
    </row>
    <row r="16" spans="1:10" s="71" customFormat="1" ht="63">
      <c r="A16" s="176">
        <v>7</v>
      </c>
      <c r="B16" s="178" t="s">
        <v>432</v>
      </c>
      <c r="C16" s="83" t="s">
        <v>487</v>
      </c>
      <c r="D16" s="83">
        <v>5.4</v>
      </c>
      <c r="E16" s="83">
        <v>1.5</v>
      </c>
      <c r="F16" s="83">
        <v>2.25</v>
      </c>
      <c r="G16" s="83">
        <f t="shared" si="0"/>
        <v>8.100000000000001</v>
      </c>
      <c r="H16" s="84">
        <f>7.4*2.5</f>
        <v>18.5</v>
      </c>
      <c r="I16" s="84">
        <v>297</v>
      </c>
      <c r="J16" s="71" t="s">
        <v>1179</v>
      </c>
    </row>
    <row r="17" spans="1:9" s="71" customFormat="1" ht="110.25">
      <c r="A17" s="233">
        <v>8</v>
      </c>
      <c r="B17" s="201" t="s">
        <v>14</v>
      </c>
      <c r="C17" s="210" t="s">
        <v>1125</v>
      </c>
      <c r="D17" s="210">
        <v>13.2</v>
      </c>
      <c r="E17" s="210">
        <v>2.5</v>
      </c>
      <c r="F17" s="210">
        <v>2.3</v>
      </c>
      <c r="G17" s="210">
        <f t="shared" si="0"/>
        <v>33</v>
      </c>
      <c r="H17" s="212">
        <f>15.2*4</f>
        <v>60.8</v>
      </c>
      <c r="I17" s="212">
        <v>70.5</v>
      </c>
    </row>
    <row r="18" spans="1:9" s="71" customFormat="1" ht="47.25">
      <c r="A18" s="233">
        <v>9</v>
      </c>
      <c r="B18" s="201" t="s">
        <v>15</v>
      </c>
      <c r="C18" s="210" t="s">
        <v>925</v>
      </c>
      <c r="D18" s="210">
        <v>7.5</v>
      </c>
      <c r="E18" s="210">
        <v>2</v>
      </c>
      <c r="F18" s="210"/>
      <c r="G18" s="318">
        <f t="shared" si="0"/>
        <v>15</v>
      </c>
      <c r="H18" s="211">
        <f>9.5*3.5</f>
        <v>33.25</v>
      </c>
      <c r="I18" s="211">
        <v>37.6</v>
      </c>
    </row>
    <row r="19" spans="1:9" s="71" customFormat="1" ht="78.75">
      <c r="A19" s="176">
        <v>10</v>
      </c>
      <c r="B19" s="178" t="s">
        <v>16</v>
      </c>
      <c r="C19" s="83" t="s">
        <v>1162</v>
      </c>
      <c r="D19" s="83">
        <v>6</v>
      </c>
      <c r="E19" s="83">
        <v>2</v>
      </c>
      <c r="F19" s="83">
        <v>2.9</v>
      </c>
      <c r="G19" s="83">
        <v>6</v>
      </c>
      <c r="H19" s="84">
        <f>8*2.5</f>
        <v>20</v>
      </c>
      <c r="I19" s="84">
        <v>60.4</v>
      </c>
    </row>
    <row r="20" spans="1:9" s="71" customFormat="1" ht="63">
      <c r="A20" s="176">
        <v>11</v>
      </c>
      <c r="B20" s="178" t="s">
        <v>17</v>
      </c>
      <c r="C20" s="83" t="s">
        <v>1163</v>
      </c>
      <c r="D20" s="83" t="s">
        <v>228</v>
      </c>
      <c r="E20" s="83"/>
      <c r="F20" s="83"/>
      <c r="G20" s="83">
        <f>(9.5+16.5)/2*1.5</f>
        <v>19.5</v>
      </c>
      <c r="H20" s="70">
        <f>15*2.5</f>
        <v>37.5</v>
      </c>
      <c r="I20" s="70">
        <v>47.1</v>
      </c>
    </row>
    <row r="21" spans="1:9" s="71" customFormat="1" ht="31.5">
      <c r="A21" s="176">
        <v>12</v>
      </c>
      <c r="B21" s="178" t="s">
        <v>18</v>
      </c>
      <c r="C21" s="83" t="s">
        <v>438</v>
      </c>
      <c r="D21" s="83"/>
      <c r="E21" s="83"/>
      <c r="F21" s="83"/>
      <c r="G21" s="83">
        <f t="shared" si="0"/>
        <v>0</v>
      </c>
      <c r="H21" s="70"/>
      <c r="I21" s="70">
        <v>107.7</v>
      </c>
    </row>
    <row r="22" spans="1:9" s="71" customFormat="1" ht="110.25">
      <c r="A22" s="170">
        <v>13</v>
      </c>
      <c r="B22" s="244" t="s">
        <v>440</v>
      </c>
      <c r="C22" s="83" t="s">
        <v>1164</v>
      </c>
      <c r="D22" s="83">
        <v>15.5</v>
      </c>
      <c r="E22" s="83">
        <v>2.5</v>
      </c>
      <c r="F22" s="83">
        <v>2.3</v>
      </c>
      <c r="G22" s="83">
        <f t="shared" si="0"/>
        <v>38.75</v>
      </c>
      <c r="H22" s="84">
        <f>17.2*4</f>
        <v>68.8</v>
      </c>
      <c r="I22" s="84">
        <f>(45.5+15.2)/2*3.2</f>
        <v>97.12</v>
      </c>
    </row>
    <row r="23" spans="1:9" s="270" customFormat="1" ht="63">
      <c r="A23" s="279">
        <v>14</v>
      </c>
      <c r="B23" s="280" t="s">
        <v>441</v>
      </c>
      <c r="C23" s="210" t="s">
        <v>1156</v>
      </c>
      <c r="D23" s="210">
        <v>3</v>
      </c>
      <c r="E23" s="210">
        <v>10</v>
      </c>
      <c r="F23" s="210"/>
      <c r="G23" s="210">
        <f>D23*E23</f>
        <v>30</v>
      </c>
      <c r="H23" s="284">
        <f>11*4+1.5*1.5</f>
        <v>46.25</v>
      </c>
      <c r="I23" s="211">
        <f>(10+40)/2*3</f>
        <v>75</v>
      </c>
    </row>
    <row r="24" spans="1:9" s="126" customFormat="1" ht="94.5">
      <c r="A24" s="122">
        <v>15</v>
      </c>
      <c r="B24" s="123" t="s">
        <v>439</v>
      </c>
      <c r="C24" s="174" t="s">
        <v>1183</v>
      </c>
      <c r="D24" s="174">
        <v>7.18</v>
      </c>
      <c r="E24" s="174">
        <v>2.63</v>
      </c>
      <c r="F24" s="174">
        <v>2.3</v>
      </c>
      <c r="G24" s="298">
        <v>39.9</v>
      </c>
      <c r="H24" s="124">
        <f>9*3</f>
        <v>27</v>
      </c>
      <c r="I24" s="124">
        <v>56</v>
      </c>
    </row>
    <row r="25" spans="1:9" s="269" customFormat="1" ht="63">
      <c r="A25" s="267">
        <v>16</v>
      </c>
      <c r="B25" s="268" t="s">
        <v>410</v>
      </c>
      <c r="C25" s="202" t="s">
        <v>1119</v>
      </c>
      <c r="D25" s="202">
        <v>10</v>
      </c>
      <c r="E25" s="202">
        <v>3</v>
      </c>
      <c r="F25" s="202"/>
      <c r="G25" s="202">
        <v>30</v>
      </c>
      <c r="H25" s="203">
        <f>12*4.5+3*2.5</f>
        <v>61.5</v>
      </c>
      <c r="I25" s="203">
        <v>75</v>
      </c>
    </row>
    <row r="26" spans="1:9" s="71" customFormat="1" ht="78.75">
      <c r="A26" s="170">
        <v>17</v>
      </c>
      <c r="B26" s="171" t="s">
        <v>21</v>
      </c>
      <c r="C26" s="83" t="s">
        <v>491</v>
      </c>
      <c r="D26" s="83">
        <v>5.8</v>
      </c>
      <c r="E26" s="83">
        <v>3.2</v>
      </c>
      <c r="F26" s="83">
        <v>2.56</v>
      </c>
      <c r="G26" s="288">
        <f>D26*E26</f>
        <v>18.56</v>
      </c>
      <c r="H26" s="84">
        <f>7.5*5</f>
        <v>37.5</v>
      </c>
      <c r="I26" s="84">
        <v>0</v>
      </c>
    </row>
    <row r="27" spans="1:9" s="126" customFormat="1" ht="63">
      <c r="A27" s="127">
        <v>18</v>
      </c>
      <c r="B27" s="175" t="s">
        <v>22</v>
      </c>
      <c r="C27" s="174" t="s">
        <v>492</v>
      </c>
      <c r="D27" s="174">
        <v>5.1</v>
      </c>
      <c r="E27" s="174">
        <v>2</v>
      </c>
      <c r="F27" s="174">
        <v>2.3</v>
      </c>
      <c r="G27" s="240">
        <f>D27*E27</f>
        <v>10.2</v>
      </c>
      <c r="H27" s="124">
        <f>7*4</f>
        <v>28</v>
      </c>
      <c r="I27" s="124">
        <v>0</v>
      </c>
    </row>
    <row r="28" spans="1:9" s="270" customFormat="1" ht="15.75">
      <c r="A28" s="391" t="s">
        <v>32</v>
      </c>
      <c r="B28" s="392"/>
      <c r="C28" s="393"/>
      <c r="D28" s="297"/>
      <c r="E28" s="297"/>
      <c r="F28" s="297"/>
      <c r="G28" s="300">
        <f>SUM(G29:G34)</f>
        <v>223.40500000000003</v>
      </c>
      <c r="H28" s="211">
        <f>SUM(H29:H34)</f>
        <v>370.15</v>
      </c>
      <c r="I28" s="211">
        <f>SUM(I29:I34)</f>
        <v>168.54</v>
      </c>
    </row>
    <row r="29" spans="1:9" s="126" customFormat="1" ht="63">
      <c r="A29" s="127">
        <v>19</v>
      </c>
      <c r="B29" s="175" t="s">
        <v>33</v>
      </c>
      <c r="C29" s="174" t="s">
        <v>445</v>
      </c>
      <c r="D29" s="174">
        <v>13.3</v>
      </c>
      <c r="E29" s="174">
        <v>2.85</v>
      </c>
      <c r="F29" s="174"/>
      <c r="G29" s="298">
        <f>D29*E29</f>
        <v>37.905</v>
      </c>
      <c r="H29" s="124">
        <f>15.3*4</f>
        <v>61.2</v>
      </c>
      <c r="I29" s="124"/>
    </row>
    <row r="30" spans="1:9" s="71" customFormat="1" ht="47.25">
      <c r="A30" s="127">
        <v>20</v>
      </c>
      <c r="B30" s="178" t="s">
        <v>34</v>
      </c>
      <c r="C30" s="83" t="s">
        <v>849</v>
      </c>
      <c r="D30" s="83">
        <v>12</v>
      </c>
      <c r="E30" s="83">
        <v>3.5</v>
      </c>
      <c r="F30" s="83"/>
      <c r="G30" s="83">
        <f>D30*E30</f>
        <v>42</v>
      </c>
      <c r="H30" s="84">
        <f>14*5</f>
        <v>70</v>
      </c>
      <c r="I30" s="84"/>
    </row>
    <row r="31" spans="1:9" s="270" customFormat="1" ht="63">
      <c r="A31" s="267">
        <v>21</v>
      </c>
      <c r="B31" s="201" t="s">
        <v>1129</v>
      </c>
      <c r="C31" s="210" t="s">
        <v>1119</v>
      </c>
      <c r="D31" s="210">
        <v>10</v>
      </c>
      <c r="E31" s="210">
        <v>3</v>
      </c>
      <c r="F31" s="210"/>
      <c r="G31" s="210">
        <f>D31*E31+2*1</f>
        <v>32</v>
      </c>
      <c r="H31" s="211">
        <f>12*4.5+2*2</f>
        <v>58</v>
      </c>
      <c r="I31" s="211">
        <v>75</v>
      </c>
    </row>
    <row r="32" spans="1:9" s="269" customFormat="1" ht="63">
      <c r="A32" s="267">
        <v>22</v>
      </c>
      <c r="B32" s="268" t="s">
        <v>456</v>
      </c>
      <c r="C32" s="202" t="s">
        <v>1119</v>
      </c>
      <c r="D32" s="202">
        <v>10.3</v>
      </c>
      <c r="E32" s="202">
        <v>3</v>
      </c>
      <c r="F32" s="202"/>
      <c r="G32" s="303">
        <f>10.3*3+2*2.5</f>
        <v>35.900000000000006</v>
      </c>
      <c r="H32" s="203">
        <f>4*11.3+3*2.5</f>
        <v>52.7</v>
      </c>
      <c r="I32" s="203"/>
    </row>
    <row r="33" spans="1:9" s="71" customFormat="1" ht="63">
      <c r="A33" s="127">
        <v>23</v>
      </c>
      <c r="B33" s="178" t="s">
        <v>37</v>
      </c>
      <c r="C33" s="210" t="s">
        <v>1119</v>
      </c>
      <c r="D33" s="83">
        <v>10.5</v>
      </c>
      <c r="E33" s="83">
        <v>3</v>
      </c>
      <c r="F33" s="83">
        <v>2.2</v>
      </c>
      <c r="G33" s="83">
        <f>D33*E33+2.1*1.3+2.1*1.7</f>
        <v>37.800000000000004</v>
      </c>
      <c r="H33" s="84">
        <f>12.5*4.5+1.5*2*2</f>
        <v>62.25</v>
      </c>
      <c r="I33" s="84">
        <v>46.5</v>
      </c>
    </row>
    <row r="34" spans="1:9" s="71" customFormat="1" ht="63">
      <c r="A34" s="127">
        <v>24</v>
      </c>
      <c r="B34" s="178" t="s">
        <v>38</v>
      </c>
      <c r="C34" s="210" t="s">
        <v>1119</v>
      </c>
      <c r="D34" s="83">
        <v>10.5</v>
      </c>
      <c r="E34" s="83">
        <v>3</v>
      </c>
      <c r="F34" s="83">
        <v>2.2</v>
      </c>
      <c r="G34" s="83">
        <f>D34*E34+2.1*1.3+2.1*1.7</f>
        <v>37.800000000000004</v>
      </c>
      <c r="H34" s="84">
        <f>12.5*4+5.5*2+2.5*2</f>
        <v>66</v>
      </c>
      <c r="I34" s="84">
        <f>14.7*3.2</f>
        <v>47.04</v>
      </c>
    </row>
    <row r="35" spans="1:9" s="270" customFormat="1" ht="15.75">
      <c r="A35" s="391" t="s">
        <v>39</v>
      </c>
      <c r="B35" s="392"/>
      <c r="C35" s="393"/>
      <c r="D35" s="306"/>
      <c r="E35" s="306"/>
      <c r="F35" s="306"/>
      <c r="G35" s="306">
        <f>SUM(G36:G41)</f>
        <v>117.6</v>
      </c>
      <c r="H35" s="212">
        <f>SUM(H36:H41)</f>
        <v>192.5</v>
      </c>
      <c r="I35" s="212">
        <f>SUM(I36:I41)</f>
        <v>190.5</v>
      </c>
    </row>
    <row r="36" spans="1:9" s="71" customFormat="1" ht="31.5">
      <c r="A36" s="176">
        <v>25</v>
      </c>
      <c r="B36" s="178" t="s">
        <v>906</v>
      </c>
      <c r="C36" s="83" t="s">
        <v>389</v>
      </c>
      <c r="D36" s="83"/>
      <c r="E36" s="83"/>
      <c r="F36" s="83"/>
      <c r="G36" s="83">
        <f>D36*E36</f>
        <v>0</v>
      </c>
      <c r="H36" s="70"/>
      <c r="I36" s="70"/>
    </row>
    <row r="37" spans="1:9" s="71" customFormat="1" ht="31.5">
      <c r="A37" s="176">
        <v>26</v>
      </c>
      <c r="B37" s="178" t="s">
        <v>907</v>
      </c>
      <c r="C37" s="83" t="s">
        <v>1167</v>
      </c>
      <c r="D37" s="83">
        <v>3</v>
      </c>
      <c r="E37" s="83">
        <v>1.2</v>
      </c>
      <c r="F37" s="83"/>
      <c r="G37" s="83">
        <f>D37*E37</f>
        <v>3.5999999999999996</v>
      </c>
      <c r="H37" s="84">
        <f>5*2.5</f>
        <v>12.5</v>
      </c>
      <c r="I37" s="84"/>
    </row>
    <row r="38" spans="1:9" s="71" customFormat="1" ht="63">
      <c r="A38" s="176">
        <v>27</v>
      </c>
      <c r="B38" s="178" t="s">
        <v>1165</v>
      </c>
      <c r="C38" s="210" t="s">
        <v>1119</v>
      </c>
      <c r="D38" s="83">
        <v>10</v>
      </c>
      <c r="E38" s="83">
        <v>3</v>
      </c>
      <c r="F38" s="83">
        <v>2.2</v>
      </c>
      <c r="G38" s="83">
        <f>D38*E38+2*4</f>
        <v>38</v>
      </c>
      <c r="H38" s="84">
        <f>12*4.5+3*2</f>
        <v>60</v>
      </c>
      <c r="I38" s="84">
        <f>21*2.75</f>
        <v>57.75</v>
      </c>
    </row>
    <row r="39" spans="1:9" s="71" customFormat="1" ht="63">
      <c r="A39" s="176">
        <v>28</v>
      </c>
      <c r="B39" s="178" t="s">
        <v>1166</v>
      </c>
      <c r="C39" s="210" t="s">
        <v>1119</v>
      </c>
      <c r="D39" s="83">
        <v>10</v>
      </c>
      <c r="E39" s="83">
        <v>3</v>
      </c>
      <c r="F39" s="83">
        <v>2.2</v>
      </c>
      <c r="G39" s="83">
        <f>D39*E39+2*4</f>
        <v>38</v>
      </c>
      <c r="H39" s="84">
        <f>12*4.5+3*2</f>
        <v>60</v>
      </c>
      <c r="I39" s="84">
        <f>25*3</f>
        <v>75</v>
      </c>
    </row>
    <row r="40" spans="1:9" s="71" customFormat="1" ht="63">
      <c r="A40" s="176">
        <v>29</v>
      </c>
      <c r="B40" s="178" t="s">
        <v>909</v>
      </c>
      <c r="C40" s="210" t="s">
        <v>1119</v>
      </c>
      <c r="D40" s="83">
        <v>10</v>
      </c>
      <c r="E40" s="83">
        <v>3</v>
      </c>
      <c r="F40" s="83">
        <v>2.2</v>
      </c>
      <c r="G40" s="83">
        <f>D40*E40+2*4</f>
        <v>38</v>
      </c>
      <c r="H40" s="84">
        <f>12*4.5+3*2</f>
        <v>60</v>
      </c>
      <c r="I40" s="84">
        <f>21*2.75</f>
        <v>57.75</v>
      </c>
    </row>
    <row r="41" spans="1:9" s="71" customFormat="1" ht="31.5">
      <c r="A41" s="176">
        <v>30</v>
      </c>
      <c r="B41" s="178" t="s">
        <v>910</v>
      </c>
      <c r="C41" s="83" t="s">
        <v>389</v>
      </c>
      <c r="D41" s="83"/>
      <c r="E41" s="83"/>
      <c r="F41" s="83"/>
      <c r="G41" s="83">
        <f>D41*E41</f>
        <v>0</v>
      </c>
      <c r="H41" s="84"/>
      <c r="I41" s="84"/>
    </row>
    <row r="42" spans="1:9" s="270" customFormat="1" ht="15.75">
      <c r="A42" s="391" t="s">
        <v>46</v>
      </c>
      <c r="B42" s="392"/>
      <c r="C42" s="393"/>
      <c r="D42" s="307"/>
      <c r="E42" s="307"/>
      <c r="F42" s="307"/>
      <c r="G42" s="307">
        <f>SUM(G43:G45)</f>
        <v>79.1</v>
      </c>
      <c r="H42" s="212">
        <f>SUM(H43:H45)</f>
        <v>140</v>
      </c>
      <c r="I42" s="212">
        <f>SUM(I43:I45)</f>
        <v>150</v>
      </c>
    </row>
    <row r="43" spans="1:10" s="71" customFormat="1" ht="78.75">
      <c r="A43" s="176">
        <v>31</v>
      </c>
      <c r="B43" s="178" t="s">
        <v>47</v>
      </c>
      <c r="C43" s="83" t="s">
        <v>847</v>
      </c>
      <c r="D43" s="83">
        <v>6</v>
      </c>
      <c r="E43" s="83">
        <v>2.7</v>
      </c>
      <c r="F43" s="83">
        <v>2.5</v>
      </c>
      <c r="G43" s="83">
        <f>D43*E43+0.9*1</f>
        <v>17.1</v>
      </c>
      <c r="H43" s="84">
        <f>8*4</f>
        <v>32</v>
      </c>
      <c r="I43" s="84"/>
      <c r="J43" s="71" t="s">
        <v>1179</v>
      </c>
    </row>
    <row r="44" spans="1:9" s="269" customFormat="1" ht="63">
      <c r="A44" s="233">
        <v>32</v>
      </c>
      <c r="B44" s="268" t="s">
        <v>48</v>
      </c>
      <c r="C44" s="210" t="s">
        <v>942</v>
      </c>
      <c r="D44" s="210">
        <v>10</v>
      </c>
      <c r="E44" s="210">
        <v>3</v>
      </c>
      <c r="F44" s="210"/>
      <c r="G44" s="210">
        <f>D44*E44+1*2</f>
        <v>32</v>
      </c>
      <c r="H44" s="211">
        <f>12*4.5</f>
        <v>54</v>
      </c>
      <c r="I44" s="211">
        <v>75</v>
      </c>
    </row>
    <row r="45" spans="1:9" s="269" customFormat="1" ht="63">
      <c r="A45" s="233">
        <v>33</v>
      </c>
      <c r="B45" s="268" t="s">
        <v>49</v>
      </c>
      <c r="C45" s="210" t="s">
        <v>942</v>
      </c>
      <c r="D45" s="210">
        <v>10</v>
      </c>
      <c r="E45" s="210">
        <v>3</v>
      </c>
      <c r="F45" s="210"/>
      <c r="G45" s="210">
        <f>D45*E45</f>
        <v>30</v>
      </c>
      <c r="H45" s="211">
        <f>12*4.5</f>
        <v>54</v>
      </c>
      <c r="I45" s="211">
        <v>75</v>
      </c>
    </row>
    <row r="46" spans="1:9" s="270" customFormat="1" ht="15.75">
      <c r="A46" s="391" t="s">
        <v>50</v>
      </c>
      <c r="B46" s="392"/>
      <c r="C46" s="393"/>
      <c r="D46" s="307"/>
      <c r="E46" s="307"/>
      <c r="F46" s="307"/>
      <c r="G46" s="300">
        <f>SUM(G47:G48,G50:G55)</f>
        <v>259.12199999999996</v>
      </c>
      <c r="H46" s="211">
        <f>SUM(H47:H48,H50:H55)</f>
        <v>426.54200000000003</v>
      </c>
      <c r="I46" s="212">
        <f>SUM(I47:I48,I50:I55)</f>
        <v>171.70000000000002</v>
      </c>
    </row>
    <row r="47" spans="1:10" s="71" customFormat="1" ht="94.5">
      <c r="A47" s="243">
        <v>34</v>
      </c>
      <c r="B47" s="244" t="s">
        <v>51</v>
      </c>
      <c r="C47" s="83" t="s">
        <v>1138</v>
      </c>
      <c r="D47" s="83">
        <v>6.05</v>
      </c>
      <c r="E47" s="83">
        <v>2.5</v>
      </c>
      <c r="F47" s="83">
        <v>2.5</v>
      </c>
      <c r="G47" s="288">
        <v>18</v>
      </c>
      <c r="H47" s="287">
        <f>8.05*3+12</f>
        <v>36.150000000000006</v>
      </c>
      <c r="I47" s="84">
        <v>12</v>
      </c>
      <c r="J47" s="71" t="s">
        <v>1179</v>
      </c>
    </row>
    <row r="48" spans="1:9" s="71" customFormat="1" ht="94.5">
      <c r="A48" s="243">
        <v>35</v>
      </c>
      <c r="B48" s="244" t="s">
        <v>52</v>
      </c>
      <c r="C48" s="83" t="s">
        <v>1137</v>
      </c>
      <c r="D48" s="83">
        <v>6.1</v>
      </c>
      <c r="E48" s="83">
        <v>2.4</v>
      </c>
      <c r="F48" s="83">
        <v>2.25</v>
      </c>
      <c r="G48" s="83">
        <v>18</v>
      </c>
      <c r="H48" s="287">
        <f>8*3+4.6*1.2</f>
        <v>29.52</v>
      </c>
      <c r="I48" s="84">
        <v>0</v>
      </c>
    </row>
    <row r="49" spans="1:9" s="71" customFormat="1" ht="15.75">
      <c r="A49" s="396">
        <v>36</v>
      </c>
      <c r="B49" s="398" t="s">
        <v>53</v>
      </c>
      <c r="C49" s="83" t="s">
        <v>241</v>
      </c>
      <c r="D49" s="83">
        <v>8.4</v>
      </c>
      <c r="E49" s="83">
        <v>3.47</v>
      </c>
      <c r="F49" s="83"/>
      <c r="G49" s="288">
        <f>SUM(D49*E49)</f>
        <v>29.148000000000003</v>
      </c>
      <c r="H49" s="84"/>
      <c r="I49" s="84"/>
    </row>
    <row r="50" spans="1:9" s="71" customFormat="1" ht="110.25">
      <c r="A50" s="397"/>
      <c r="B50" s="399"/>
      <c r="C50" s="83" t="s">
        <v>1141</v>
      </c>
      <c r="D50" s="83">
        <v>15.2</v>
      </c>
      <c r="E50" s="83">
        <v>4.3</v>
      </c>
      <c r="F50" s="83">
        <v>2.7</v>
      </c>
      <c r="G50" s="288">
        <f>D50*E50-G49+2*1.2+2*0.6</f>
        <v>39.812</v>
      </c>
      <c r="H50" s="287">
        <f>D50*E50-G49+2*1.2+2*0.6</f>
        <v>39.812</v>
      </c>
      <c r="I50" s="84">
        <v>34</v>
      </c>
    </row>
    <row r="51" spans="1:9" s="71" customFormat="1" ht="63">
      <c r="A51" s="279">
        <v>37</v>
      </c>
      <c r="B51" s="280" t="s">
        <v>1139</v>
      </c>
      <c r="C51" s="210" t="s">
        <v>1160</v>
      </c>
      <c r="D51" s="210">
        <v>3</v>
      </c>
      <c r="E51" s="210">
        <v>13</v>
      </c>
      <c r="F51" s="210">
        <v>2.2</v>
      </c>
      <c r="G51" s="210">
        <f>13*3</f>
        <v>39</v>
      </c>
      <c r="H51" s="284">
        <f>15*4.5+2.2*1</f>
        <v>69.7</v>
      </c>
      <c r="I51" s="211">
        <f>35*1.2</f>
        <v>42</v>
      </c>
    </row>
    <row r="52" spans="1:9" s="71" customFormat="1" ht="63">
      <c r="A52" s="243">
        <v>38</v>
      </c>
      <c r="B52" s="244" t="s">
        <v>1140</v>
      </c>
      <c r="C52" s="285" t="s">
        <v>1160</v>
      </c>
      <c r="D52" s="240">
        <v>12.4</v>
      </c>
      <c r="E52" s="240">
        <v>4</v>
      </c>
      <c r="F52" s="240">
        <v>2.2</v>
      </c>
      <c r="G52" s="298">
        <f>D52*E52+0.3*1</f>
        <v>49.9</v>
      </c>
      <c r="H52" s="124">
        <f>14.5*5</f>
        <v>72.5</v>
      </c>
      <c r="I52" s="124"/>
    </row>
    <row r="53" spans="1:9" s="71" customFormat="1" ht="63">
      <c r="A53" s="243">
        <v>39</v>
      </c>
      <c r="B53" s="244" t="s">
        <v>56</v>
      </c>
      <c r="C53" s="285" t="s">
        <v>1160</v>
      </c>
      <c r="D53" s="240">
        <v>9.2</v>
      </c>
      <c r="E53" s="240">
        <v>3.2</v>
      </c>
      <c r="F53" s="240">
        <v>2.2</v>
      </c>
      <c r="G53" s="240">
        <f>D53*E53</f>
        <v>29.439999999999998</v>
      </c>
      <c r="H53" s="124">
        <f>12.6*6.1</f>
        <v>76.86</v>
      </c>
      <c r="I53" s="124">
        <v>13.2</v>
      </c>
    </row>
    <row r="54" spans="1:9" s="71" customFormat="1" ht="63">
      <c r="A54" s="243">
        <v>40</v>
      </c>
      <c r="B54" s="289" t="s">
        <v>57</v>
      </c>
      <c r="C54" s="202" t="s">
        <v>1161</v>
      </c>
      <c r="D54" s="202">
        <v>10.1</v>
      </c>
      <c r="E54" s="202">
        <v>3.1</v>
      </c>
      <c r="F54" s="202">
        <v>2.2</v>
      </c>
      <c r="G54" s="303">
        <f>D54*E54</f>
        <v>31.31</v>
      </c>
      <c r="H54" s="286">
        <f>12*4.5</f>
        <v>54</v>
      </c>
      <c r="I54" s="203">
        <f>15.4*1</f>
        <v>15.4</v>
      </c>
    </row>
    <row r="55" spans="1:9" s="71" customFormat="1" ht="63">
      <c r="A55" s="233">
        <v>41</v>
      </c>
      <c r="B55" s="201" t="s">
        <v>58</v>
      </c>
      <c r="C55" s="202" t="s">
        <v>1161</v>
      </c>
      <c r="D55" s="202">
        <v>10.2</v>
      </c>
      <c r="E55" s="202">
        <v>3.3</v>
      </c>
      <c r="F55" s="202">
        <v>2.2</v>
      </c>
      <c r="G55" s="303">
        <f>D55*E55</f>
        <v>33.66</v>
      </c>
      <c r="H55" s="286">
        <f>12*4</f>
        <v>48</v>
      </c>
      <c r="I55" s="203">
        <v>55.1</v>
      </c>
    </row>
    <row r="56" spans="1:9" s="270" customFormat="1" ht="15.75">
      <c r="A56" s="391" t="s">
        <v>877</v>
      </c>
      <c r="B56" s="392"/>
      <c r="C56" s="393"/>
      <c r="D56" s="297"/>
      <c r="E56" s="297"/>
      <c r="F56" s="297"/>
      <c r="G56" s="297">
        <f>SUM(G57)</f>
        <v>21.6</v>
      </c>
      <c r="H56" s="212">
        <f>SUM(H57)</f>
        <v>40</v>
      </c>
      <c r="I56" s="212">
        <f>SUM(I57)</f>
        <v>0</v>
      </c>
    </row>
    <row r="57" spans="1:9" s="71" customFormat="1" ht="63">
      <c r="A57" s="208">
        <v>42</v>
      </c>
      <c r="B57" s="209" t="s">
        <v>890</v>
      </c>
      <c r="C57" s="207" t="s">
        <v>878</v>
      </c>
      <c r="D57" s="207">
        <v>6</v>
      </c>
      <c r="E57" s="207">
        <v>3.6</v>
      </c>
      <c r="F57" s="207"/>
      <c r="G57" s="240">
        <f>D57*E57</f>
        <v>21.6</v>
      </c>
      <c r="H57" s="124">
        <f>8*5</f>
        <v>40</v>
      </c>
      <c r="I57" s="124"/>
    </row>
    <row r="58" spans="1:9" s="71" customFormat="1" ht="15" customHeight="1">
      <c r="A58" s="391" t="s">
        <v>59</v>
      </c>
      <c r="B58" s="394"/>
      <c r="C58" s="395"/>
      <c r="D58" s="168"/>
      <c r="E58" s="168"/>
      <c r="F58" s="168"/>
      <c r="G58" s="282"/>
      <c r="H58" s="70"/>
      <c r="I58" s="70"/>
    </row>
    <row r="59" spans="1:9" s="71" customFormat="1" ht="15.75">
      <c r="A59" s="176">
        <v>43</v>
      </c>
      <c r="B59" s="178" t="s">
        <v>60</v>
      </c>
      <c r="C59" s="83" t="s">
        <v>389</v>
      </c>
      <c r="D59" s="83"/>
      <c r="E59" s="83"/>
      <c r="F59" s="83"/>
      <c r="G59" s="83"/>
      <c r="H59" s="70"/>
      <c r="I59" s="70"/>
    </row>
    <row r="60" spans="1:9" s="270" customFormat="1" ht="32.25" customHeight="1">
      <c r="A60" s="400" t="s">
        <v>896</v>
      </c>
      <c r="B60" s="401"/>
      <c r="C60" s="402"/>
      <c r="D60" s="301"/>
      <c r="E60" s="301"/>
      <c r="F60" s="301"/>
      <c r="G60" s="301">
        <f>SUM(G61:G65)</f>
        <v>51.72</v>
      </c>
      <c r="H60" s="211">
        <f>SUM(H61:H65)</f>
        <v>116.25</v>
      </c>
      <c r="I60" s="212">
        <f>SUM(I61:I65)</f>
        <v>0</v>
      </c>
    </row>
    <row r="61" spans="1:9" s="71" customFormat="1" ht="63">
      <c r="A61" s="243">
        <v>44</v>
      </c>
      <c r="B61" s="244" t="s">
        <v>891</v>
      </c>
      <c r="C61" s="83" t="s">
        <v>723</v>
      </c>
      <c r="D61" s="83">
        <v>5.6</v>
      </c>
      <c r="E61" s="83">
        <v>2.7</v>
      </c>
      <c r="F61" s="83">
        <v>2.25</v>
      </c>
      <c r="G61" s="288">
        <f aca="true" t="shared" si="1" ref="G61:G123">D61*E61</f>
        <v>15.12</v>
      </c>
      <c r="H61" s="84">
        <f>7.5*4.5</f>
        <v>33.75</v>
      </c>
      <c r="I61" s="84"/>
    </row>
    <row r="62" spans="1:9" s="86" customFormat="1" ht="31.5">
      <c r="A62" s="243">
        <v>45</v>
      </c>
      <c r="B62" s="242" t="s">
        <v>892</v>
      </c>
      <c r="C62" s="240" t="s">
        <v>725</v>
      </c>
      <c r="D62" s="240"/>
      <c r="E62" s="240"/>
      <c r="F62" s="240"/>
      <c r="G62" s="240">
        <f t="shared" si="1"/>
        <v>0</v>
      </c>
      <c r="H62" s="241"/>
      <c r="I62" s="241"/>
    </row>
    <row r="63" spans="1:9" s="86" customFormat="1" ht="47.25">
      <c r="A63" s="243">
        <v>46</v>
      </c>
      <c r="B63" s="242" t="s">
        <v>893</v>
      </c>
      <c r="C63" s="83" t="s">
        <v>726</v>
      </c>
      <c r="D63" s="83">
        <v>6</v>
      </c>
      <c r="E63" s="83">
        <v>3</v>
      </c>
      <c r="F63" s="83">
        <v>2.3</v>
      </c>
      <c r="G63" s="83">
        <f t="shared" si="1"/>
        <v>18</v>
      </c>
      <c r="H63" s="84">
        <f>8*5</f>
        <v>40</v>
      </c>
      <c r="I63" s="84"/>
    </row>
    <row r="64" spans="1:9" s="86" customFormat="1" ht="31.5">
      <c r="A64" s="243">
        <v>47</v>
      </c>
      <c r="B64" s="242" t="s">
        <v>894</v>
      </c>
      <c r="C64" s="240" t="s">
        <v>725</v>
      </c>
      <c r="D64" s="240"/>
      <c r="E64" s="240"/>
      <c r="F64" s="240"/>
      <c r="G64" s="240">
        <f t="shared" si="1"/>
        <v>0</v>
      </c>
      <c r="H64" s="241"/>
      <c r="I64" s="241"/>
    </row>
    <row r="65" spans="1:9" s="71" customFormat="1" ht="78.75">
      <c r="A65" s="238">
        <v>48</v>
      </c>
      <c r="B65" s="239" t="s">
        <v>895</v>
      </c>
      <c r="C65" s="83" t="s">
        <v>730</v>
      </c>
      <c r="D65" s="83">
        <v>6.2</v>
      </c>
      <c r="E65" s="83">
        <v>3</v>
      </c>
      <c r="F65" s="83">
        <v>2.75</v>
      </c>
      <c r="G65" s="83">
        <f t="shared" si="1"/>
        <v>18.6</v>
      </c>
      <c r="H65" s="84">
        <f>8.5*5</f>
        <v>42.5</v>
      </c>
      <c r="I65" s="84"/>
    </row>
    <row r="66" spans="1:9" s="86" customFormat="1" ht="15.75">
      <c r="A66" s="82"/>
      <c r="B66" s="403" t="s">
        <v>727</v>
      </c>
      <c r="C66" s="404"/>
      <c r="D66" s="83"/>
      <c r="E66" s="83"/>
      <c r="F66" s="83"/>
      <c r="G66" s="83">
        <f t="shared" si="1"/>
        <v>0</v>
      </c>
      <c r="H66" s="84"/>
      <c r="I66" s="84"/>
    </row>
    <row r="67" spans="1:9" s="71" customFormat="1" ht="15.75" customHeight="1">
      <c r="A67" s="176">
        <v>49</v>
      </c>
      <c r="B67" s="178" t="s">
        <v>720</v>
      </c>
      <c r="C67" s="83" t="s">
        <v>721</v>
      </c>
      <c r="D67" s="83"/>
      <c r="E67" s="83"/>
      <c r="F67" s="83"/>
      <c r="G67" s="83">
        <f t="shared" si="1"/>
        <v>0</v>
      </c>
      <c r="H67" s="70"/>
      <c r="I67" s="70"/>
    </row>
    <row r="68" spans="1:9" s="270" customFormat="1" ht="15.75">
      <c r="A68" s="391" t="s">
        <v>61</v>
      </c>
      <c r="B68" s="392"/>
      <c r="C68" s="393"/>
      <c r="D68" s="297"/>
      <c r="E68" s="297"/>
      <c r="F68" s="297"/>
      <c r="G68" s="300">
        <f>SUM(G69:G71)</f>
        <v>60.76</v>
      </c>
      <c r="H68" s="211">
        <f>SUM(H69:H71)</f>
        <v>117.5</v>
      </c>
      <c r="I68" s="212">
        <f>SUM(I69:I71)</f>
        <v>0</v>
      </c>
    </row>
    <row r="69" spans="1:9" s="71" customFormat="1" ht="94.5">
      <c r="A69" s="176">
        <v>50</v>
      </c>
      <c r="B69" s="178" t="s">
        <v>62</v>
      </c>
      <c r="C69" s="83" t="s">
        <v>1142</v>
      </c>
      <c r="D69" s="83">
        <v>6.7</v>
      </c>
      <c r="E69" s="83">
        <v>2.8</v>
      </c>
      <c r="F69" s="83">
        <v>2.35</v>
      </c>
      <c r="G69" s="83">
        <f t="shared" si="1"/>
        <v>18.759999999999998</v>
      </c>
      <c r="H69" s="84">
        <f>8.5*5</f>
        <v>42.5</v>
      </c>
      <c r="I69" s="84"/>
    </row>
    <row r="70" spans="1:9" s="71" customFormat="1" ht="15.75">
      <c r="A70" s="176">
        <v>51</v>
      </c>
      <c r="B70" s="178" t="s">
        <v>63</v>
      </c>
      <c r="C70" s="83" t="s">
        <v>1143</v>
      </c>
      <c r="D70" s="83"/>
      <c r="E70" s="83"/>
      <c r="F70" s="83"/>
      <c r="G70" s="83">
        <f t="shared" si="1"/>
        <v>0</v>
      </c>
      <c r="H70" s="70"/>
      <c r="I70" s="70"/>
    </row>
    <row r="71" spans="1:9" s="71" customFormat="1" ht="78.75">
      <c r="A71" s="176">
        <v>52</v>
      </c>
      <c r="B71" s="178" t="s">
        <v>64</v>
      </c>
      <c r="C71" s="174" t="s">
        <v>1144</v>
      </c>
      <c r="D71" s="174">
        <v>10.5</v>
      </c>
      <c r="E71" s="174">
        <v>4</v>
      </c>
      <c r="F71" s="174">
        <v>2.7</v>
      </c>
      <c r="G71" s="240">
        <f t="shared" si="1"/>
        <v>42</v>
      </c>
      <c r="H71" s="124">
        <f>12.5*6</f>
        <v>75</v>
      </c>
      <c r="I71" s="124"/>
    </row>
    <row r="72" spans="1:9" s="71" customFormat="1" ht="15.75">
      <c r="A72" s="391" t="s">
        <v>65</v>
      </c>
      <c r="B72" s="394"/>
      <c r="C72" s="395"/>
      <c r="D72" s="168"/>
      <c r="E72" s="168"/>
      <c r="F72" s="168"/>
      <c r="G72" s="299">
        <f>SUM(G73:G75)</f>
        <v>59.04</v>
      </c>
      <c r="H72" s="70">
        <f>SUM(H73:H75)</f>
        <v>124</v>
      </c>
      <c r="I72" s="70">
        <f>SUM(I73:I75)</f>
        <v>0</v>
      </c>
    </row>
    <row r="73" spans="1:9" s="270" customFormat="1" ht="47.25">
      <c r="A73" s="233">
        <v>53</v>
      </c>
      <c r="B73" s="201" t="s">
        <v>229</v>
      </c>
      <c r="C73" s="210" t="s">
        <v>1115</v>
      </c>
      <c r="D73" s="210">
        <v>10</v>
      </c>
      <c r="E73" s="210">
        <v>3</v>
      </c>
      <c r="F73" s="210"/>
      <c r="G73" s="210">
        <f>D73*E73+2*1</f>
        <v>32</v>
      </c>
      <c r="H73" s="211">
        <f>12*5</f>
        <v>60</v>
      </c>
      <c r="I73" s="276" t="s">
        <v>1116</v>
      </c>
    </row>
    <row r="74" spans="1:9" s="71" customFormat="1" ht="78.75">
      <c r="A74" s="176">
        <v>54</v>
      </c>
      <c r="B74" s="178" t="s">
        <v>676</v>
      </c>
      <c r="C74" s="83" t="s">
        <v>677</v>
      </c>
      <c r="D74" s="83">
        <v>5.75</v>
      </c>
      <c r="E74" s="83">
        <v>2.4</v>
      </c>
      <c r="F74" s="83">
        <v>2.4</v>
      </c>
      <c r="G74" s="83">
        <f t="shared" si="1"/>
        <v>13.799999999999999</v>
      </c>
      <c r="H74" s="84">
        <f>7.5*4</f>
        <v>30</v>
      </c>
      <c r="I74" s="84"/>
    </row>
    <row r="75" spans="1:9" s="71" customFormat="1" ht="78.75">
      <c r="A75" s="176">
        <v>55</v>
      </c>
      <c r="B75" s="178" t="s">
        <v>67</v>
      </c>
      <c r="C75" s="83" t="s">
        <v>1145</v>
      </c>
      <c r="D75" s="83">
        <v>6.62</v>
      </c>
      <c r="E75" s="83">
        <v>2</v>
      </c>
      <c r="F75" s="83">
        <v>2.5</v>
      </c>
      <c r="G75" s="83">
        <f t="shared" si="1"/>
        <v>13.24</v>
      </c>
      <c r="H75" s="84">
        <f>8.5*4</f>
        <v>34</v>
      </c>
      <c r="I75" s="84"/>
    </row>
    <row r="76" spans="1:9" s="270" customFormat="1" ht="15.75">
      <c r="A76" s="391" t="s">
        <v>68</v>
      </c>
      <c r="B76" s="392"/>
      <c r="C76" s="393"/>
      <c r="D76" s="297"/>
      <c r="E76" s="297"/>
      <c r="F76" s="297"/>
      <c r="G76" s="300">
        <f>SUM(G77:G80)</f>
        <v>115.89500000000001</v>
      </c>
      <c r="H76" s="212">
        <f>SUM(H77:H80)</f>
        <v>209.9</v>
      </c>
      <c r="I76" s="212">
        <f>SUM(I77:I80)</f>
        <v>0</v>
      </c>
    </row>
    <row r="77" spans="1:9" s="71" customFormat="1" ht="78.75">
      <c r="A77" s="170">
        <v>56</v>
      </c>
      <c r="B77" s="171" t="s">
        <v>897</v>
      </c>
      <c r="C77" s="83" t="s">
        <v>493</v>
      </c>
      <c r="D77" s="83">
        <v>5.8</v>
      </c>
      <c r="E77" s="83">
        <v>1.3</v>
      </c>
      <c r="F77" s="83">
        <v>2.48</v>
      </c>
      <c r="G77" s="288">
        <f>D77*E77+3.9*1.65</f>
        <v>13.975</v>
      </c>
      <c r="H77" s="84">
        <f>12*2.5</f>
        <v>30</v>
      </c>
      <c r="I77" s="84"/>
    </row>
    <row r="78" spans="1:9" s="71" customFormat="1" ht="63">
      <c r="A78" s="169">
        <v>57</v>
      </c>
      <c r="B78" s="171" t="s">
        <v>898</v>
      </c>
      <c r="C78" s="83" t="s">
        <v>536</v>
      </c>
      <c r="D78" s="83">
        <v>12.2</v>
      </c>
      <c r="E78" s="83">
        <v>2.9</v>
      </c>
      <c r="F78" s="83">
        <v>2.54</v>
      </c>
      <c r="G78" s="288">
        <f t="shared" si="1"/>
        <v>35.379999999999995</v>
      </c>
      <c r="H78" s="84">
        <f>14.2*4.5</f>
        <v>63.9</v>
      </c>
      <c r="I78" s="84"/>
    </row>
    <row r="79" spans="1:9" s="71" customFormat="1" ht="63">
      <c r="A79" s="234">
        <v>58</v>
      </c>
      <c r="B79" s="235" t="s">
        <v>941</v>
      </c>
      <c r="C79" s="83" t="s">
        <v>1146</v>
      </c>
      <c r="D79" s="83">
        <v>6.5</v>
      </c>
      <c r="E79" s="83">
        <v>4.2</v>
      </c>
      <c r="F79" s="83">
        <v>2.54</v>
      </c>
      <c r="G79" s="83">
        <f t="shared" si="1"/>
        <v>27.3</v>
      </c>
      <c r="H79" s="84">
        <f>8.5*6</f>
        <v>51</v>
      </c>
      <c r="I79" s="84"/>
    </row>
    <row r="80" spans="1:9" s="126" customFormat="1" ht="63">
      <c r="A80" s="127">
        <v>59</v>
      </c>
      <c r="B80" s="175" t="s">
        <v>899</v>
      </c>
      <c r="C80" s="174" t="s">
        <v>494</v>
      </c>
      <c r="D80" s="174">
        <v>10.9</v>
      </c>
      <c r="E80" s="174">
        <v>3.6</v>
      </c>
      <c r="F80" s="174">
        <v>2.55</v>
      </c>
      <c r="G80" s="240">
        <f t="shared" si="1"/>
        <v>39.24</v>
      </c>
      <c r="H80" s="124">
        <f>13*5</f>
        <v>65</v>
      </c>
      <c r="I80" s="124"/>
    </row>
    <row r="81" spans="1:9" s="270" customFormat="1" ht="15.75">
      <c r="A81" s="391" t="s">
        <v>69</v>
      </c>
      <c r="B81" s="392"/>
      <c r="C81" s="393"/>
      <c r="D81" s="297"/>
      <c r="E81" s="297"/>
      <c r="F81" s="297"/>
      <c r="G81" s="300">
        <f>SUM(G82,G84:G85)</f>
        <v>106.281</v>
      </c>
      <c r="H81" s="211">
        <f>SUM(H82,H84:H85)</f>
        <v>189.577</v>
      </c>
      <c r="I81" s="212">
        <f>SUM(I82,I84:I85)</f>
        <v>0</v>
      </c>
    </row>
    <row r="82" spans="1:9" s="131" customFormat="1" ht="94.5">
      <c r="A82" s="128">
        <v>60</v>
      </c>
      <c r="B82" s="129" t="s">
        <v>403</v>
      </c>
      <c r="C82" s="175" t="s">
        <v>495</v>
      </c>
      <c r="D82" s="175">
        <v>15.9</v>
      </c>
      <c r="E82" s="175">
        <v>2.86</v>
      </c>
      <c r="F82" s="175">
        <v>2.38</v>
      </c>
      <c r="G82" s="302">
        <f t="shared" si="1"/>
        <v>45.474</v>
      </c>
      <c r="H82" s="130">
        <f>18*4.5</f>
        <v>81</v>
      </c>
      <c r="I82" s="130"/>
    </row>
    <row r="83" spans="1:9" s="71" customFormat="1" ht="15.75">
      <c r="A83" s="396">
        <v>61</v>
      </c>
      <c r="B83" s="398" t="s">
        <v>71</v>
      </c>
      <c r="C83" s="83" t="s">
        <v>241</v>
      </c>
      <c r="D83" s="83">
        <v>3.01</v>
      </c>
      <c r="E83" s="83">
        <v>2.3</v>
      </c>
      <c r="F83" s="83"/>
      <c r="G83" s="83">
        <f t="shared" si="1"/>
        <v>6.922999999999999</v>
      </c>
      <c r="H83" s="84">
        <f>D83*E83</f>
        <v>6.922999999999999</v>
      </c>
      <c r="I83" s="84"/>
    </row>
    <row r="84" spans="1:10" s="71" customFormat="1" ht="78.75">
      <c r="A84" s="397"/>
      <c r="B84" s="399"/>
      <c r="C84" s="83" t="s">
        <v>660</v>
      </c>
      <c r="D84" s="83">
        <v>9.66</v>
      </c>
      <c r="E84" s="83">
        <v>3.5</v>
      </c>
      <c r="F84" s="83">
        <v>2.56</v>
      </c>
      <c r="G84" s="288">
        <f>D84*E84-H83</f>
        <v>26.887000000000004</v>
      </c>
      <c r="H84" s="84">
        <f>11.5*5-H83</f>
        <v>50.577</v>
      </c>
      <c r="I84" s="84"/>
      <c r="J84" s="71" t="s">
        <v>1179</v>
      </c>
    </row>
    <row r="85" spans="1:9" s="71" customFormat="1" ht="78.75">
      <c r="A85" s="172">
        <v>62</v>
      </c>
      <c r="B85" s="171" t="s">
        <v>72</v>
      </c>
      <c r="C85" s="83" t="s">
        <v>795</v>
      </c>
      <c r="D85" s="83">
        <v>12.8</v>
      </c>
      <c r="E85" s="83">
        <v>2.65</v>
      </c>
      <c r="F85" s="83">
        <v>2.8</v>
      </c>
      <c r="G85" s="83">
        <f t="shared" si="1"/>
        <v>33.92</v>
      </c>
      <c r="H85" s="84">
        <f>14.5*4</f>
        <v>58</v>
      </c>
      <c r="I85" s="84"/>
    </row>
    <row r="86" spans="1:9" s="270" customFormat="1" ht="15.75">
      <c r="A86" s="391" t="s">
        <v>764</v>
      </c>
      <c r="B86" s="392"/>
      <c r="C86" s="393"/>
      <c r="D86" s="297"/>
      <c r="E86" s="297"/>
      <c r="F86" s="297"/>
      <c r="G86" s="300">
        <f>SUM(G87:G89)</f>
        <v>64.265</v>
      </c>
      <c r="H86" s="211">
        <f>SUM(H87:H89)</f>
        <v>132.75</v>
      </c>
      <c r="I86" s="212">
        <f>SUM(I87:I89)</f>
        <v>0</v>
      </c>
    </row>
    <row r="87" spans="1:9" s="71" customFormat="1" ht="78.75">
      <c r="A87" s="176">
        <v>63</v>
      </c>
      <c r="B87" s="178" t="s">
        <v>771</v>
      </c>
      <c r="C87" s="83" t="s">
        <v>772</v>
      </c>
      <c r="D87" s="83">
        <v>5</v>
      </c>
      <c r="E87" s="83">
        <v>2.4</v>
      </c>
      <c r="F87" s="83">
        <v>3.05</v>
      </c>
      <c r="G87" s="83">
        <f t="shared" si="1"/>
        <v>12</v>
      </c>
      <c r="H87" s="84">
        <f>7*4</f>
        <v>28</v>
      </c>
      <c r="I87" s="84"/>
    </row>
    <row r="88" spans="1:9" s="71" customFormat="1" ht="78.75">
      <c r="A88" s="176">
        <v>64</v>
      </c>
      <c r="B88" s="178" t="s">
        <v>765</v>
      </c>
      <c r="C88" s="83" t="s">
        <v>766</v>
      </c>
      <c r="D88" s="83">
        <v>9.7</v>
      </c>
      <c r="E88" s="83">
        <v>3.1</v>
      </c>
      <c r="F88" s="83">
        <v>3.35</v>
      </c>
      <c r="G88" s="288">
        <f t="shared" si="1"/>
        <v>30.07</v>
      </c>
      <c r="H88" s="84">
        <f>12*4.5</f>
        <v>54</v>
      </c>
      <c r="I88" s="84"/>
    </row>
    <row r="89" spans="1:9" s="71" customFormat="1" ht="78.75">
      <c r="A89" s="176">
        <v>65</v>
      </c>
      <c r="B89" s="178" t="s">
        <v>770</v>
      </c>
      <c r="C89" s="83" t="s">
        <v>768</v>
      </c>
      <c r="D89" s="83">
        <v>12.6</v>
      </c>
      <c r="E89" s="83">
        <v>2.2</v>
      </c>
      <c r="F89" s="83">
        <v>2.5</v>
      </c>
      <c r="G89" s="288">
        <f>D89*E89-1.7*6.5/2</f>
        <v>22.195000000000004</v>
      </c>
      <c r="H89" s="84">
        <f>14.5*3.5</f>
        <v>50.75</v>
      </c>
      <c r="I89" s="84"/>
    </row>
    <row r="90" spans="1:9" s="270" customFormat="1" ht="15.75">
      <c r="A90" s="391" t="s">
        <v>76</v>
      </c>
      <c r="B90" s="392"/>
      <c r="C90" s="393"/>
      <c r="D90" s="297"/>
      <c r="E90" s="297"/>
      <c r="F90" s="297"/>
      <c r="G90" s="300">
        <f>SUM(G92:G93,G95,G97,G98)</f>
        <v>206.33200000000002</v>
      </c>
      <c r="H90" s="211">
        <f>SUM(H92:H93,H95,H97,H98)</f>
        <v>349.86</v>
      </c>
      <c r="I90" s="212">
        <f>SUM(I92:I93,I95,I97,I98)</f>
        <v>143</v>
      </c>
    </row>
    <row r="91" spans="1:9" s="71" customFormat="1" ht="15.75">
      <c r="A91" s="396">
        <v>66</v>
      </c>
      <c r="B91" s="398" t="s">
        <v>242</v>
      </c>
      <c r="C91" s="83" t="s">
        <v>341</v>
      </c>
      <c r="D91" s="83">
        <v>5.1</v>
      </c>
      <c r="E91" s="83">
        <v>3.1</v>
      </c>
      <c r="F91" s="83"/>
      <c r="G91" s="288">
        <f t="shared" si="1"/>
        <v>15.809999999999999</v>
      </c>
      <c r="H91" s="84"/>
      <c r="I91" s="84"/>
    </row>
    <row r="92" spans="1:9" s="71" customFormat="1" ht="94.5">
      <c r="A92" s="397"/>
      <c r="B92" s="399"/>
      <c r="C92" s="83" t="s">
        <v>1147</v>
      </c>
      <c r="D92" s="83">
        <v>11.3</v>
      </c>
      <c r="E92" s="83">
        <v>5.9</v>
      </c>
      <c r="F92" s="83">
        <v>2.6</v>
      </c>
      <c r="G92" s="288">
        <f>D92*E92-G91</f>
        <v>50.86</v>
      </c>
      <c r="H92" s="84">
        <f>13*7.5-G91</f>
        <v>81.69</v>
      </c>
      <c r="I92" s="84">
        <v>21</v>
      </c>
    </row>
    <row r="93" spans="1:9" s="71" customFormat="1" ht="110.25">
      <c r="A93" s="281">
        <v>67</v>
      </c>
      <c r="B93" s="278" t="s">
        <v>337</v>
      </c>
      <c r="C93" s="83" t="s">
        <v>1148</v>
      </c>
      <c r="D93" s="83">
        <v>17.8</v>
      </c>
      <c r="E93" s="83">
        <v>3.6</v>
      </c>
      <c r="F93" s="83">
        <v>3.7</v>
      </c>
      <c r="G93" s="288">
        <f t="shared" si="1"/>
        <v>64.08</v>
      </c>
      <c r="H93" s="84">
        <f>21*5</f>
        <v>105</v>
      </c>
      <c r="I93" s="84">
        <v>17</v>
      </c>
    </row>
    <row r="94" spans="1:9" s="71" customFormat="1" ht="15.75">
      <c r="A94" s="405">
        <v>68</v>
      </c>
      <c r="B94" s="398" t="s">
        <v>338</v>
      </c>
      <c r="C94" s="83" t="s">
        <v>241</v>
      </c>
      <c r="D94" s="83">
        <v>3.2</v>
      </c>
      <c r="E94" s="83">
        <v>3.2</v>
      </c>
      <c r="F94" s="83"/>
      <c r="G94" s="288">
        <f t="shared" si="1"/>
        <v>10.240000000000002</v>
      </c>
      <c r="H94" s="84"/>
      <c r="I94" s="84"/>
    </row>
    <row r="95" spans="1:9" s="71" customFormat="1" ht="94.5">
      <c r="A95" s="406"/>
      <c r="B95" s="399"/>
      <c r="C95" s="83" t="s">
        <v>1149</v>
      </c>
      <c r="D95" s="83">
        <v>18.4</v>
      </c>
      <c r="E95" s="83">
        <v>3.24</v>
      </c>
      <c r="F95" s="83">
        <v>2.55</v>
      </c>
      <c r="G95" s="288">
        <f>D95*E95-G94</f>
        <v>49.376</v>
      </c>
      <c r="H95" s="84">
        <f>20*4.5-G94</f>
        <v>79.75999999999999</v>
      </c>
      <c r="I95" s="84">
        <v>58</v>
      </c>
    </row>
    <row r="96" spans="1:9" s="71" customFormat="1" ht="15.75">
      <c r="A96" s="405">
        <v>69</v>
      </c>
      <c r="B96" s="398" t="s">
        <v>245</v>
      </c>
      <c r="C96" s="83" t="s">
        <v>241</v>
      </c>
      <c r="D96" s="83">
        <v>6.4</v>
      </c>
      <c r="E96" s="83">
        <v>4.35</v>
      </c>
      <c r="F96" s="83"/>
      <c r="G96" s="288">
        <f t="shared" si="1"/>
        <v>27.84</v>
      </c>
      <c r="H96" s="84"/>
      <c r="I96" s="84"/>
    </row>
    <row r="97" spans="1:9" s="71" customFormat="1" ht="78.75">
      <c r="A97" s="406"/>
      <c r="B97" s="399"/>
      <c r="C97" s="83" t="s">
        <v>1150</v>
      </c>
      <c r="D97" s="83">
        <v>18.4</v>
      </c>
      <c r="E97" s="83">
        <v>3.24</v>
      </c>
      <c r="F97" s="83">
        <v>2.55</v>
      </c>
      <c r="G97" s="288">
        <f>D97*E97-G96</f>
        <v>31.776</v>
      </c>
      <c r="H97" s="84">
        <f>20*4.5-G96</f>
        <v>62.16</v>
      </c>
      <c r="I97" s="84"/>
    </row>
    <row r="98" spans="1:9" s="71" customFormat="1" ht="94.5">
      <c r="A98" s="177">
        <v>70</v>
      </c>
      <c r="B98" s="166" t="s">
        <v>344</v>
      </c>
      <c r="C98" s="83" t="s">
        <v>1151</v>
      </c>
      <c r="D98" s="83">
        <v>6.4</v>
      </c>
      <c r="E98" s="83">
        <v>1.6</v>
      </c>
      <c r="F98" s="83">
        <v>2.55</v>
      </c>
      <c r="G98" s="83">
        <f t="shared" si="1"/>
        <v>10.240000000000002</v>
      </c>
      <c r="H98" s="84">
        <f>8.5*2.5</f>
        <v>21.25</v>
      </c>
      <c r="I98" s="84">
        <v>47</v>
      </c>
    </row>
    <row r="99" spans="1:9" s="270" customFormat="1" ht="15.75">
      <c r="A99" s="391" t="s">
        <v>78</v>
      </c>
      <c r="B99" s="392"/>
      <c r="C99" s="393"/>
      <c r="D99" s="297"/>
      <c r="E99" s="297"/>
      <c r="F99" s="297"/>
      <c r="G99" s="300">
        <f>SUM(G100:G102,G103:G104,G106:G108,G109)</f>
        <v>372.49</v>
      </c>
      <c r="H99" s="211">
        <f>SUM(H100:H102,H103:H104,H106:H108,H109)</f>
        <v>592.55</v>
      </c>
      <c r="I99" s="212">
        <f>SUM(I100:I102,I103:I104,I106:I108,I109)</f>
        <v>0</v>
      </c>
    </row>
    <row r="100" spans="1:9" s="71" customFormat="1" ht="47.25">
      <c r="A100" s="176">
        <v>71</v>
      </c>
      <c r="B100" s="178" t="s">
        <v>79</v>
      </c>
      <c r="C100" s="174" t="s">
        <v>1113</v>
      </c>
      <c r="D100" s="174">
        <v>10</v>
      </c>
      <c r="E100" s="174">
        <v>3</v>
      </c>
      <c r="F100" s="174"/>
      <c r="G100" s="240">
        <f t="shared" si="1"/>
        <v>30</v>
      </c>
      <c r="H100" s="124">
        <f>12*4.5</f>
        <v>54</v>
      </c>
      <c r="I100" s="124"/>
    </row>
    <row r="101" spans="1:9" s="71" customFormat="1" ht="94.5">
      <c r="A101" s="176">
        <v>72</v>
      </c>
      <c r="B101" s="178" t="s">
        <v>80</v>
      </c>
      <c r="C101" s="83" t="s">
        <v>621</v>
      </c>
      <c r="D101" s="83">
        <v>17.4</v>
      </c>
      <c r="E101" s="83">
        <v>3.1</v>
      </c>
      <c r="F101" s="83">
        <v>2.8</v>
      </c>
      <c r="G101" s="288">
        <f t="shared" si="1"/>
        <v>53.94</v>
      </c>
      <c r="H101" s="84">
        <f>19.5*4.5</f>
        <v>87.75</v>
      </c>
      <c r="I101" s="84"/>
    </row>
    <row r="102" spans="1:9" s="71" customFormat="1" ht="47.25">
      <c r="A102" s="176">
        <v>73</v>
      </c>
      <c r="B102" s="178" t="s">
        <v>81</v>
      </c>
      <c r="C102" s="83" t="s">
        <v>942</v>
      </c>
      <c r="D102" s="83">
        <v>16.5</v>
      </c>
      <c r="E102" s="83">
        <v>2.6</v>
      </c>
      <c r="F102" s="83"/>
      <c r="G102" s="83">
        <f>D102*E102+1.5*3</f>
        <v>47.4</v>
      </c>
      <c r="H102" s="84">
        <f>18.5*4.5</f>
        <v>83.25</v>
      </c>
      <c r="I102" s="84"/>
    </row>
    <row r="103" spans="1:9" s="71" customFormat="1" ht="47.25">
      <c r="A103" s="176">
        <v>74</v>
      </c>
      <c r="B103" s="178" t="s">
        <v>54</v>
      </c>
      <c r="C103" s="83" t="s">
        <v>1113</v>
      </c>
      <c r="D103" s="83">
        <v>10</v>
      </c>
      <c r="E103" s="83">
        <v>3</v>
      </c>
      <c r="F103" s="83"/>
      <c r="G103" s="83">
        <f t="shared" si="1"/>
        <v>30</v>
      </c>
      <c r="H103" s="84">
        <f>12*4.5</f>
        <v>54</v>
      </c>
      <c r="I103" s="84"/>
    </row>
    <row r="104" spans="1:10" s="126" customFormat="1" ht="94.5">
      <c r="A104" s="127">
        <v>75</v>
      </c>
      <c r="B104" s="175" t="s">
        <v>797</v>
      </c>
      <c r="C104" s="174" t="s">
        <v>799</v>
      </c>
      <c r="D104" s="174">
        <v>10.9</v>
      </c>
      <c r="E104" s="174">
        <v>2.7</v>
      </c>
      <c r="F104" s="174">
        <v>2.8</v>
      </c>
      <c r="G104" s="298">
        <v>38.9</v>
      </c>
      <c r="H104" s="124">
        <f>13*4.5</f>
        <v>58.5</v>
      </c>
      <c r="I104" s="124"/>
      <c r="J104" s="126" t="s">
        <v>1179</v>
      </c>
    </row>
    <row r="105" spans="1:9" s="71" customFormat="1" ht="15.75">
      <c r="A105" s="396">
        <v>76</v>
      </c>
      <c r="B105" s="398" t="s">
        <v>82</v>
      </c>
      <c r="C105" s="83" t="s">
        <v>631</v>
      </c>
      <c r="D105" s="83">
        <v>4</v>
      </c>
      <c r="E105" s="83">
        <v>1.9</v>
      </c>
      <c r="F105" s="83"/>
      <c r="G105" s="83">
        <f t="shared" si="1"/>
        <v>7.6</v>
      </c>
      <c r="H105" s="70"/>
      <c r="I105" s="70"/>
    </row>
    <row r="106" spans="1:9" s="71" customFormat="1" ht="94.5">
      <c r="A106" s="397"/>
      <c r="B106" s="399"/>
      <c r="C106" s="83" t="s">
        <v>632</v>
      </c>
      <c r="D106" s="83">
        <v>20.5</v>
      </c>
      <c r="E106" s="83">
        <v>5.3</v>
      </c>
      <c r="F106" s="83">
        <v>2.8</v>
      </c>
      <c r="G106" s="288">
        <f>D106*E106-G105*2</f>
        <v>93.44999999999999</v>
      </c>
      <c r="H106" s="84">
        <f>22.5*6.5-G105*2</f>
        <v>131.05</v>
      </c>
      <c r="I106" s="84"/>
    </row>
    <row r="107" spans="1:10" s="71" customFormat="1" ht="94.5">
      <c r="A107" s="170">
        <v>77</v>
      </c>
      <c r="B107" s="171" t="s">
        <v>83</v>
      </c>
      <c r="C107" s="174" t="s">
        <v>798</v>
      </c>
      <c r="D107" s="174">
        <v>9.7</v>
      </c>
      <c r="E107" s="174">
        <v>2.7</v>
      </c>
      <c r="F107" s="174">
        <v>2.8</v>
      </c>
      <c r="G107" s="240">
        <v>32.5</v>
      </c>
      <c r="H107" s="124">
        <f>12*4</f>
        <v>48</v>
      </c>
      <c r="I107" s="124"/>
      <c r="J107" s="71" t="s">
        <v>1179</v>
      </c>
    </row>
    <row r="108" spans="1:9" s="71" customFormat="1" ht="94.5">
      <c r="A108" s="176">
        <v>78</v>
      </c>
      <c r="B108" s="178" t="s">
        <v>84</v>
      </c>
      <c r="C108" s="83" t="s">
        <v>630</v>
      </c>
      <c r="D108" s="83">
        <v>9.1</v>
      </c>
      <c r="E108" s="83">
        <v>2.7</v>
      </c>
      <c r="F108" s="83">
        <v>2.6</v>
      </c>
      <c r="G108" s="83">
        <v>30.1</v>
      </c>
      <c r="H108" s="84">
        <f>11*4</f>
        <v>44</v>
      </c>
      <c r="I108" s="84"/>
    </row>
    <row r="109" spans="1:10" s="71" customFormat="1" ht="94.5">
      <c r="A109" s="176">
        <v>79</v>
      </c>
      <c r="B109" s="178" t="s">
        <v>968</v>
      </c>
      <c r="C109" s="83" t="s">
        <v>800</v>
      </c>
      <c r="D109" s="83">
        <v>6</v>
      </c>
      <c r="E109" s="83">
        <v>2.7</v>
      </c>
      <c r="F109" s="83">
        <v>2.6</v>
      </c>
      <c r="G109" s="83">
        <f t="shared" si="1"/>
        <v>16.200000000000003</v>
      </c>
      <c r="H109" s="84">
        <f>8*4</f>
        <v>32</v>
      </c>
      <c r="I109" s="84"/>
      <c r="J109" s="71" t="s">
        <v>1179</v>
      </c>
    </row>
    <row r="110" spans="1:9" s="270" customFormat="1" ht="15.75">
      <c r="A110" s="391" t="s">
        <v>86</v>
      </c>
      <c r="B110" s="392"/>
      <c r="C110" s="393"/>
      <c r="D110" s="297"/>
      <c r="E110" s="297"/>
      <c r="F110" s="297"/>
      <c r="G110" s="297">
        <f>SUM(G111:G112)</f>
        <v>37.8</v>
      </c>
      <c r="H110" s="212">
        <f>SUM(H111:H112)</f>
        <v>77</v>
      </c>
      <c r="I110" s="212">
        <f>SUM(I111:I112)</f>
        <v>0</v>
      </c>
    </row>
    <row r="111" spans="1:9" s="71" customFormat="1" ht="31.5">
      <c r="A111" s="176">
        <v>80</v>
      </c>
      <c r="B111" s="178" t="s">
        <v>802</v>
      </c>
      <c r="C111" s="83" t="s">
        <v>803</v>
      </c>
      <c r="D111" s="83">
        <v>6.5</v>
      </c>
      <c r="E111" s="83">
        <v>1.8</v>
      </c>
      <c r="F111" s="83"/>
      <c r="G111" s="83">
        <f t="shared" si="1"/>
        <v>11.700000000000001</v>
      </c>
      <c r="H111" s="84">
        <f>8.5*3.5</f>
        <v>29.75</v>
      </c>
      <c r="I111" s="84"/>
    </row>
    <row r="112" spans="1:9" s="71" customFormat="1" ht="63">
      <c r="A112" s="176">
        <v>81</v>
      </c>
      <c r="B112" s="178" t="s">
        <v>87</v>
      </c>
      <c r="C112" s="83" t="s">
        <v>805</v>
      </c>
      <c r="D112" s="83">
        <v>8.7</v>
      </c>
      <c r="E112" s="83">
        <v>3</v>
      </c>
      <c r="F112" s="83">
        <v>2.75</v>
      </c>
      <c r="G112" s="83">
        <f t="shared" si="1"/>
        <v>26.099999999999998</v>
      </c>
      <c r="H112" s="84">
        <f>10.5*4.5</f>
        <v>47.25</v>
      </c>
      <c r="I112" s="84"/>
    </row>
    <row r="113" spans="1:9" s="270" customFormat="1" ht="15.75">
      <c r="A113" s="391" t="s">
        <v>88</v>
      </c>
      <c r="B113" s="392"/>
      <c r="C113" s="393"/>
      <c r="D113" s="297"/>
      <c r="E113" s="297"/>
      <c r="F113" s="297"/>
      <c r="G113" s="297">
        <f>SUM(G114)</f>
        <v>9</v>
      </c>
      <c r="H113" s="212">
        <f>SUM(H114)</f>
        <v>24</v>
      </c>
      <c r="I113" s="212">
        <f>SUM(I114)</f>
        <v>0</v>
      </c>
    </row>
    <row r="114" spans="1:9" s="71" customFormat="1" ht="31.5">
      <c r="A114" s="176">
        <v>82</v>
      </c>
      <c r="B114" s="178" t="s">
        <v>695</v>
      </c>
      <c r="C114" s="83" t="s">
        <v>696</v>
      </c>
      <c r="D114" s="83">
        <v>6</v>
      </c>
      <c r="E114" s="83">
        <v>1.5</v>
      </c>
      <c r="F114" s="83"/>
      <c r="G114" s="83">
        <f t="shared" si="1"/>
        <v>9</v>
      </c>
      <c r="H114" s="84">
        <f>8*3</f>
        <v>24</v>
      </c>
      <c r="I114" s="84"/>
    </row>
    <row r="115" spans="1:9" s="270" customFormat="1" ht="15.75">
      <c r="A115" s="391" t="s">
        <v>365</v>
      </c>
      <c r="B115" s="392"/>
      <c r="C115" s="393"/>
      <c r="D115" s="297"/>
      <c r="E115" s="297"/>
      <c r="F115" s="297"/>
      <c r="G115" s="300">
        <f>SUM(G116)</f>
        <v>11.115</v>
      </c>
      <c r="H115" s="212">
        <f>SUM(H116)</f>
        <v>24</v>
      </c>
      <c r="I115" s="212">
        <f>SUM(I116)</f>
        <v>0</v>
      </c>
    </row>
    <row r="116" spans="1:9" s="71" customFormat="1" ht="63">
      <c r="A116" s="238">
        <v>83</v>
      </c>
      <c r="B116" s="239" t="s">
        <v>366</v>
      </c>
      <c r="C116" s="83" t="s">
        <v>502</v>
      </c>
      <c r="D116" s="83">
        <v>3.9</v>
      </c>
      <c r="E116" s="83">
        <v>2.85</v>
      </c>
      <c r="F116" s="83">
        <v>2.48</v>
      </c>
      <c r="G116" s="288">
        <f t="shared" si="1"/>
        <v>11.115</v>
      </c>
      <c r="H116" s="84">
        <f>6*4</f>
        <v>24</v>
      </c>
      <c r="I116" s="84"/>
    </row>
    <row r="117" spans="1:9" s="270" customFormat="1" ht="15.75">
      <c r="A117" s="391" t="s">
        <v>89</v>
      </c>
      <c r="B117" s="392"/>
      <c r="C117" s="393"/>
      <c r="D117" s="297"/>
      <c r="E117" s="297"/>
      <c r="F117" s="297"/>
      <c r="G117" s="297">
        <f t="shared" si="1"/>
        <v>0</v>
      </c>
      <c r="H117" s="212"/>
      <c r="I117" s="212"/>
    </row>
    <row r="118" spans="1:9" s="71" customFormat="1" ht="15.75">
      <c r="A118" s="176">
        <v>84</v>
      </c>
      <c r="B118" s="178" t="s">
        <v>90</v>
      </c>
      <c r="C118" s="83" t="s">
        <v>376</v>
      </c>
      <c r="D118" s="83"/>
      <c r="E118" s="83"/>
      <c r="F118" s="83"/>
      <c r="G118" s="83">
        <f t="shared" si="1"/>
        <v>0</v>
      </c>
      <c r="H118" s="70"/>
      <c r="I118" s="70"/>
    </row>
    <row r="119" spans="1:9" s="71" customFormat="1" ht="15.75">
      <c r="A119" s="176">
        <v>85</v>
      </c>
      <c r="B119" s="178" t="s">
        <v>91</v>
      </c>
      <c r="C119" s="83" t="s">
        <v>376</v>
      </c>
      <c r="D119" s="83"/>
      <c r="E119" s="83"/>
      <c r="F119" s="83"/>
      <c r="G119" s="83">
        <f t="shared" si="1"/>
        <v>0</v>
      </c>
      <c r="H119" s="70"/>
      <c r="I119" s="70"/>
    </row>
    <row r="120" spans="1:9" s="270" customFormat="1" ht="15.75">
      <c r="A120" s="391" t="s">
        <v>361</v>
      </c>
      <c r="B120" s="392"/>
      <c r="C120" s="393"/>
      <c r="D120" s="297"/>
      <c r="E120" s="297"/>
      <c r="F120" s="297"/>
      <c r="G120" s="297">
        <f>SUM(G121)</f>
        <v>30</v>
      </c>
      <c r="H120" s="212">
        <f>SUM(H121)</f>
        <v>54</v>
      </c>
      <c r="I120" s="212">
        <f>SUM(I121)</f>
        <v>42</v>
      </c>
    </row>
    <row r="121" spans="1:9" s="270" customFormat="1" ht="63">
      <c r="A121" s="233">
        <v>86</v>
      </c>
      <c r="B121" s="201" t="s">
        <v>362</v>
      </c>
      <c r="C121" s="210" t="s">
        <v>1120</v>
      </c>
      <c r="D121" s="210">
        <v>10</v>
      </c>
      <c r="E121" s="210">
        <v>3</v>
      </c>
      <c r="F121" s="210"/>
      <c r="G121" s="210">
        <f t="shared" si="1"/>
        <v>30</v>
      </c>
      <c r="H121" s="211">
        <f>12*4.5</f>
        <v>54</v>
      </c>
      <c r="I121" s="211">
        <v>42</v>
      </c>
    </row>
    <row r="122" spans="1:9" s="71" customFormat="1" ht="15.75">
      <c r="A122" s="391" t="s">
        <v>92</v>
      </c>
      <c r="B122" s="394"/>
      <c r="C122" s="395"/>
      <c r="D122" s="168"/>
      <c r="E122" s="168"/>
      <c r="F122" s="168"/>
      <c r="G122" s="282">
        <f t="shared" si="1"/>
        <v>0</v>
      </c>
      <c r="H122" s="70"/>
      <c r="I122" s="70"/>
    </row>
    <row r="123" spans="1:9" s="71" customFormat="1" ht="15.75">
      <c r="A123" s="176">
        <v>86</v>
      </c>
      <c r="B123" s="178" t="s">
        <v>93</v>
      </c>
      <c r="C123" s="83" t="s">
        <v>389</v>
      </c>
      <c r="D123" s="83"/>
      <c r="E123" s="83"/>
      <c r="F123" s="83"/>
      <c r="G123" s="83">
        <f t="shared" si="1"/>
        <v>0</v>
      </c>
      <c r="H123" s="70"/>
      <c r="I123" s="70"/>
    </row>
    <row r="124" spans="1:9" s="270" customFormat="1" ht="15.75">
      <c r="A124" s="391" t="s">
        <v>122</v>
      </c>
      <c r="B124" s="392"/>
      <c r="C124" s="393"/>
      <c r="D124" s="297"/>
      <c r="E124" s="297"/>
      <c r="F124" s="297"/>
      <c r="G124" s="300">
        <f>SUM(G125:G127,G128)</f>
        <v>104.5475</v>
      </c>
      <c r="H124" s="211">
        <f>SUM(H125:H127,H128)</f>
        <v>183.25</v>
      </c>
      <c r="I124" s="212">
        <f>SUM(I125:I127,I128)</f>
        <v>174.6</v>
      </c>
    </row>
    <row r="125" spans="1:9" s="126" customFormat="1" ht="63">
      <c r="A125" s="42">
        <v>87</v>
      </c>
      <c r="B125" s="175" t="s">
        <v>900</v>
      </c>
      <c r="C125" s="285" t="s">
        <v>1120</v>
      </c>
      <c r="D125" s="174">
        <v>10</v>
      </c>
      <c r="E125" s="174">
        <v>3</v>
      </c>
      <c r="F125" s="174">
        <v>2.2</v>
      </c>
      <c r="G125" s="298">
        <f>D125*E125+5.4*1.5</f>
        <v>38.1</v>
      </c>
      <c r="H125" s="124">
        <f>12*4.5</f>
        <v>54</v>
      </c>
      <c r="I125" s="124">
        <v>82.1</v>
      </c>
    </row>
    <row r="126" spans="1:9" s="126" customFormat="1" ht="63">
      <c r="A126" s="42">
        <v>88</v>
      </c>
      <c r="B126" s="175" t="s">
        <v>901</v>
      </c>
      <c r="C126" s="285" t="s">
        <v>1120</v>
      </c>
      <c r="D126" s="174">
        <v>10</v>
      </c>
      <c r="E126" s="174">
        <v>3</v>
      </c>
      <c r="F126" s="174"/>
      <c r="G126" s="298">
        <f>D126*E126+1*1*2</f>
        <v>32</v>
      </c>
      <c r="H126" s="124">
        <f>12*4.5</f>
        <v>54</v>
      </c>
      <c r="I126" s="124">
        <v>92.5</v>
      </c>
    </row>
    <row r="127" spans="1:9" s="126" customFormat="1" ht="78.75">
      <c r="A127" s="122">
        <v>89</v>
      </c>
      <c r="B127" s="123" t="s">
        <v>902</v>
      </c>
      <c r="C127" s="174" t="s">
        <v>504</v>
      </c>
      <c r="D127" s="174">
        <v>7.65</v>
      </c>
      <c r="E127" s="174">
        <v>2.15</v>
      </c>
      <c r="F127" s="174">
        <v>2.45</v>
      </c>
      <c r="G127" s="298">
        <f aca="true" t="shared" si="2" ref="G127:G154">D127*E127</f>
        <v>16.4475</v>
      </c>
      <c r="H127" s="124">
        <f>9.5*3.5</f>
        <v>33.25</v>
      </c>
      <c r="I127" s="124"/>
    </row>
    <row r="128" spans="1:9" s="71" customFormat="1" ht="31.5">
      <c r="A128" s="176">
        <v>90</v>
      </c>
      <c r="B128" s="178" t="s">
        <v>903</v>
      </c>
      <c r="C128" s="83" t="s">
        <v>414</v>
      </c>
      <c r="D128" s="83">
        <v>12</v>
      </c>
      <c r="E128" s="83">
        <v>1.5</v>
      </c>
      <c r="F128" s="83"/>
      <c r="G128" s="83">
        <f t="shared" si="2"/>
        <v>18</v>
      </c>
      <c r="H128" s="84">
        <f>14*3</f>
        <v>42</v>
      </c>
      <c r="I128" s="84"/>
    </row>
    <row r="129" spans="1:9" s="71" customFormat="1" ht="15.75">
      <c r="A129" s="391" t="s">
        <v>127</v>
      </c>
      <c r="B129" s="394"/>
      <c r="C129" s="395"/>
      <c r="D129" s="168"/>
      <c r="E129" s="168"/>
      <c r="F129" s="168"/>
      <c r="G129" s="282">
        <f t="shared" si="2"/>
        <v>0</v>
      </c>
      <c r="H129" s="70"/>
      <c r="I129" s="70"/>
    </row>
    <row r="130" spans="1:9" s="71" customFormat="1" ht="31.5">
      <c r="A130" s="176">
        <v>91</v>
      </c>
      <c r="B130" s="178" t="s">
        <v>128</v>
      </c>
      <c r="C130" s="83" t="s">
        <v>389</v>
      </c>
      <c r="D130" s="83"/>
      <c r="E130" s="83"/>
      <c r="F130" s="83"/>
      <c r="G130" s="83">
        <f t="shared" si="2"/>
        <v>0</v>
      </c>
      <c r="H130" s="70"/>
      <c r="I130" s="70"/>
    </row>
    <row r="131" spans="1:9" s="71" customFormat="1" ht="31.5">
      <c r="A131" s="176">
        <v>92</v>
      </c>
      <c r="B131" s="178" t="s">
        <v>129</v>
      </c>
      <c r="C131" s="83" t="s">
        <v>389</v>
      </c>
      <c r="D131" s="83"/>
      <c r="E131" s="83"/>
      <c r="F131" s="83"/>
      <c r="G131" s="83">
        <f t="shared" si="2"/>
        <v>0</v>
      </c>
      <c r="H131" s="70"/>
      <c r="I131" s="70"/>
    </row>
    <row r="132" spans="1:9" s="270" customFormat="1" ht="15.75">
      <c r="A132" s="391" t="s">
        <v>130</v>
      </c>
      <c r="B132" s="392"/>
      <c r="C132" s="393"/>
      <c r="D132" s="297"/>
      <c r="E132" s="297"/>
      <c r="F132" s="297"/>
      <c r="G132" s="297">
        <f>SUM(G133:G135)</f>
        <v>42.4</v>
      </c>
      <c r="H132" s="212">
        <f>SUM(H133:H135)</f>
        <v>87</v>
      </c>
      <c r="I132" s="212">
        <f>SUM(I133:I135)</f>
        <v>0</v>
      </c>
    </row>
    <row r="133" spans="1:9" s="71" customFormat="1" ht="31.5">
      <c r="A133" s="176">
        <v>93</v>
      </c>
      <c r="B133" s="178" t="s">
        <v>904</v>
      </c>
      <c r="C133" s="83" t="s">
        <v>744</v>
      </c>
      <c r="D133" s="83">
        <v>12</v>
      </c>
      <c r="E133" s="83">
        <v>1</v>
      </c>
      <c r="F133" s="83"/>
      <c r="G133" s="83">
        <f t="shared" si="2"/>
        <v>12</v>
      </c>
      <c r="H133" s="84">
        <f>14*2.5</f>
        <v>35</v>
      </c>
      <c r="I133" s="84"/>
    </row>
    <row r="134" spans="1:9" s="71" customFormat="1" ht="31.5">
      <c r="A134" s="176">
        <v>94</v>
      </c>
      <c r="B134" s="178" t="s">
        <v>905</v>
      </c>
      <c r="C134" s="83" t="s">
        <v>389</v>
      </c>
      <c r="D134" s="83"/>
      <c r="E134" s="83"/>
      <c r="F134" s="83"/>
      <c r="G134" s="83">
        <f t="shared" si="2"/>
        <v>0</v>
      </c>
      <c r="H134" s="70"/>
      <c r="I134" s="70"/>
    </row>
    <row r="135" spans="1:9" s="71" customFormat="1" ht="63">
      <c r="A135" s="176">
        <v>95</v>
      </c>
      <c r="B135" s="178" t="s">
        <v>746</v>
      </c>
      <c r="C135" s="83" t="s">
        <v>733</v>
      </c>
      <c r="D135" s="83">
        <v>6.6</v>
      </c>
      <c r="E135" s="83">
        <v>5.08</v>
      </c>
      <c r="F135" s="83">
        <v>2.3</v>
      </c>
      <c r="G135" s="288">
        <v>30.4</v>
      </c>
      <c r="H135" s="84">
        <f>8*6.5</f>
        <v>52</v>
      </c>
      <c r="I135" s="84"/>
    </row>
    <row r="136" spans="1:9" s="270" customFormat="1" ht="15.75">
      <c r="A136" s="391" t="s">
        <v>637</v>
      </c>
      <c r="B136" s="392"/>
      <c r="C136" s="393"/>
      <c r="D136" s="297"/>
      <c r="E136" s="297"/>
      <c r="F136" s="297"/>
      <c r="G136" s="297">
        <f>SUM(G137:G138)</f>
        <v>16.799999999999997</v>
      </c>
      <c r="H136" s="212">
        <f>SUM(H137:H138)</f>
        <v>48</v>
      </c>
      <c r="I136" s="212">
        <f>SUM(I137:I138)</f>
        <v>0</v>
      </c>
    </row>
    <row r="137" spans="1:9" s="71" customFormat="1" ht="31.5">
      <c r="A137" s="176">
        <v>96</v>
      </c>
      <c r="B137" s="178" t="s">
        <v>94</v>
      </c>
      <c r="C137" s="174" t="s">
        <v>638</v>
      </c>
      <c r="D137" s="174">
        <v>6</v>
      </c>
      <c r="E137" s="174">
        <v>1.4</v>
      </c>
      <c r="F137" s="174"/>
      <c r="G137" s="297">
        <f t="shared" si="2"/>
        <v>8.399999999999999</v>
      </c>
      <c r="H137" s="124">
        <f>8*3</f>
        <v>24</v>
      </c>
      <c r="I137" s="124"/>
    </row>
    <row r="138" spans="1:9" s="71" customFormat="1" ht="31.5">
      <c r="A138" s="176">
        <v>97</v>
      </c>
      <c r="B138" s="178" t="s">
        <v>95</v>
      </c>
      <c r="C138" s="174" t="s">
        <v>638</v>
      </c>
      <c r="D138" s="174">
        <v>6</v>
      </c>
      <c r="E138" s="174">
        <v>1.4</v>
      </c>
      <c r="F138" s="174"/>
      <c r="G138" s="297">
        <f t="shared" si="2"/>
        <v>8.399999999999999</v>
      </c>
      <c r="H138" s="124">
        <f>8*3</f>
        <v>24</v>
      </c>
      <c r="I138" s="124"/>
    </row>
    <row r="139" spans="1:9" s="270" customFormat="1" ht="15.75">
      <c r="A139" s="391" t="s">
        <v>132</v>
      </c>
      <c r="B139" s="392"/>
      <c r="C139" s="393"/>
      <c r="D139" s="297"/>
      <c r="E139" s="297"/>
      <c r="F139" s="297"/>
      <c r="G139" s="300">
        <f>SUM(G140,G142:G144,G145:G146)</f>
        <v>131.015</v>
      </c>
      <c r="H139" s="212">
        <f>SUM(H140,H142:H144,H145:H146)</f>
        <v>235.695</v>
      </c>
      <c r="I139" s="212">
        <f>SUM(I140,I142:I144,I145:I146)</f>
        <v>0</v>
      </c>
    </row>
    <row r="140" spans="1:9" s="71" customFormat="1" ht="47.25">
      <c r="A140" s="176">
        <v>98</v>
      </c>
      <c r="B140" s="178" t="s">
        <v>133</v>
      </c>
      <c r="C140" s="83" t="s">
        <v>942</v>
      </c>
      <c r="D140" s="83">
        <v>10</v>
      </c>
      <c r="E140" s="83">
        <v>2.2</v>
      </c>
      <c r="F140" s="83"/>
      <c r="G140" s="83">
        <f t="shared" si="2"/>
        <v>22</v>
      </c>
      <c r="H140" s="84">
        <f>12*3.5</f>
        <v>42</v>
      </c>
      <c r="I140" s="84"/>
    </row>
    <row r="141" spans="1:9" s="71" customFormat="1" ht="15.75">
      <c r="A141" s="396">
        <v>99</v>
      </c>
      <c r="B141" s="398" t="s">
        <v>134</v>
      </c>
      <c r="C141" s="83" t="s">
        <v>420</v>
      </c>
      <c r="D141" s="83">
        <v>2.05</v>
      </c>
      <c r="E141" s="83">
        <v>2.1</v>
      </c>
      <c r="F141" s="83"/>
      <c r="G141" s="288">
        <f t="shared" si="2"/>
        <v>4.305</v>
      </c>
      <c r="H141" s="84"/>
      <c r="I141" s="84"/>
    </row>
    <row r="142" spans="1:9" s="71" customFormat="1" ht="94.5">
      <c r="A142" s="397"/>
      <c r="B142" s="399"/>
      <c r="C142" s="83" t="s">
        <v>507</v>
      </c>
      <c r="D142" s="83">
        <v>21.2</v>
      </c>
      <c r="E142" s="83">
        <v>3.6</v>
      </c>
      <c r="F142" s="83">
        <v>3</v>
      </c>
      <c r="G142" s="288">
        <f>D142*E142-G141</f>
        <v>72.01499999999999</v>
      </c>
      <c r="H142" s="84">
        <f>23*5-G141</f>
        <v>110.695</v>
      </c>
      <c r="I142" s="84"/>
    </row>
    <row r="143" spans="1:9" s="71" customFormat="1" ht="78.75">
      <c r="A143" s="176">
        <v>100</v>
      </c>
      <c r="B143" s="178" t="s">
        <v>418</v>
      </c>
      <c r="C143" s="83" t="s">
        <v>509</v>
      </c>
      <c r="D143" s="83">
        <v>5</v>
      </c>
      <c r="E143" s="83">
        <v>2</v>
      </c>
      <c r="F143" s="83">
        <v>2.6</v>
      </c>
      <c r="G143" s="83">
        <f t="shared" si="2"/>
        <v>10</v>
      </c>
      <c r="H143" s="84">
        <f>7*3.5</f>
        <v>24.5</v>
      </c>
      <c r="I143" s="84"/>
    </row>
    <row r="144" spans="1:9" s="71" customFormat="1" ht="31.5">
      <c r="A144" s="176">
        <v>101</v>
      </c>
      <c r="B144" s="178" t="s">
        <v>135</v>
      </c>
      <c r="C144" s="83" t="s">
        <v>1168</v>
      </c>
      <c r="D144" s="83"/>
      <c r="E144" s="83"/>
      <c r="F144" s="83"/>
      <c r="G144" s="83">
        <f t="shared" si="2"/>
        <v>0</v>
      </c>
      <c r="H144" s="70"/>
      <c r="I144" s="70"/>
    </row>
    <row r="145" spans="1:9" s="71" customFormat="1" ht="78.75">
      <c r="A145" s="176">
        <v>102</v>
      </c>
      <c r="B145" s="178" t="s">
        <v>136</v>
      </c>
      <c r="C145" s="83" t="s">
        <v>510</v>
      </c>
      <c r="D145" s="83">
        <v>5</v>
      </c>
      <c r="E145" s="83">
        <v>3</v>
      </c>
      <c r="F145" s="83">
        <v>2.3</v>
      </c>
      <c r="G145" s="83">
        <f t="shared" si="2"/>
        <v>15</v>
      </c>
      <c r="H145" s="84">
        <f>7*4.5</f>
        <v>31.5</v>
      </c>
      <c r="I145" s="84"/>
    </row>
    <row r="146" spans="1:9" s="71" customFormat="1" ht="63">
      <c r="A146" s="176">
        <v>103</v>
      </c>
      <c r="B146" s="178" t="s">
        <v>137</v>
      </c>
      <c r="C146" s="83" t="s">
        <v>511</v>
      </c>
      <c r="D146" s="83">
        <v>4</v>
      </c>
      <c r="E146" s="83">
        <v>3</v>
      </c>
      <c r="F146" s="83">
        <v>2.35</v>
      </c>
      <c r="G146" s="83">
        <f t="shared" si="2"/>
        <v>12</v>
      </c>
      <c r="H146" s="84">
        <f>6*4.5</f>
        <v>27</v>
      </c>
      <c r="I146" s="84"/>
    </row>
    <row r="147" spans="1:9" s="71" customFormat="1" ht="15.75">
      <c r="A147" s="391" t="s">
        <v>139</v>
      </c>
      <c r="B147" s="394"/>
      <c r="C147" s="395"/>
      <c r="D147" s="168"/>
      <c r="E147" s="168"/>
      <c r="F147" s="168"/>
      <c r="G147" s="282">
        <f t="shared" si="2"/>
        <v>0</v>
      </c>
      <c r="H147" s="70"/>
      <c r="I147" s="70"/>
    </row>
    <row r="148" spans="1:9" s="71" customFormat="1" ht="15.75">
      <c r="A148" s="176">
        <v>104</v>
      </c>
      <c r="B148" s="178" t="s">
        <v>140</v>
      </c>
      <c r="C148" s="83" t="s">
        <v>389</v>
      </c>
      <c r="D148" s="83"/>
      <c r="E148" s="83"/>
      <c r="F148" s="83"/>
      <c r="G148" s="83">
        <f t="shared" si="2"/>
        <v>0</v>
      </c>
      <c r="H148" s="70"/>
      <c r="I148" s="70"/>
    </row>
    <row r="149" spans="1:9" s="270" customFormat="1" ht="15.75">
      <c r="A149" s="391" t="s">
        <v>141</v>
      </c>
      <c r="B149" s="392"/>
      <c r="C149" s="393"/>
      <c r="D149" s="297"/>
      <c r="E149" s="297"/>
      <c r="F149" s="297"/>
      <c r="G149" s="297">
        <f>SUM(G150:G152)</f>
        <v>76</v>
      </c>
      <c r="H149" s="212">
        <f>SUM(H150:H152)</f>
        <v>148.5</v>
      </c>
      <c r="I149" s="212">
        <f>SUM(I150:I152)</f>
        <v>216.3</v>
      </c>
    </row>
    <row r="150" spans="1:9" s="269" customFormat="1" ht="63">
      <c r="A150" s="267">
        <v>105</v>
      </c>
      <c r="B150" s="268" t="s">
        <v>425</v>
      </c>
      <c r="C150" s="202" t="s">
        <v>1119</v>
      </c>
      <c r="D150" s="202">
        <v>10</v>
      </c>
      <c r="E150" s="202">
        <v>3</v>
      </c>
      <c r="F150" s="202"/>
      <c r="G150" s="202">
        <f t="shared" si="2"/>
        <v>30</v>
      </c>
      <c r="H150" s="204">
        <f>12*4.5</f>
        <v>54</v>
      </c>
      <c r="I150" s="204">
        <v>59.4</v>
      </c>
    </row>
    <row r="151" spans="1:9" s="126" customFormat="1" ht="47.25">
      <c r="A151" s="127">
        <v>106</v>
      </c>
      <c r="B151" s="175" t="s">
        <v>142</v>
      </c>
      <c r="C151" s="174" t="s">
        <v>561</v>
      </c>
      <c r="D151" s="174">
        <v>12.4</v>
      </c>
      <c r="E151" s="174">
        <v>2</v>
      </c>
      <c r="F151" s="174"/>
      <c r="G151" s="240">
        <f t="shared" si="2"/>
        <v>24.8</v>
      </c>
      <c r="H151" s="125">
        <f>14.5*3.5</f>
        <v>50.75</v>
      </c>
      <c r="I151" s="125">
        <v>65.5</v>
      </c>
    </row>
    <row r="152" spans="1:9" s="126" customFormat="1" ht="47.25">
      <c r="A152" s="127">
        <v>107</v>
      </c>
      <c r="B152" s="175" t="s">
        <v>143</v>
      </c>
      <c r="C152" s="174" t="s">
        <v>810</v>
      </c>
      <c r="D152" s="174">
        <v>10.6</v>
      </c>
      <c r="E152" s="174">
        <v>2</v>
      </c>
      <c r="F152" s="174"/>
      <c r="G152" s="240">
        <f t="shared" si="2"/>
        <v>21.2</v>
      </c>
      <c r="H152" s="124">
        <f>12.5*3.5</f>
        <v>43.75</v>
      </c>
      <c r="I152" s="124">
        <v>91.4</v>
      </c>
    </row>
    <row r="153" spans="1:9" s="270" customFormat="1" ht="15.75">
      <c r="A153" s="391" t="s">
        <v>144</v>
      </c>
      <c r="B153" s="392"/>
      <c r="C153" s="393"/>
      <c r="D153" s="297"/>
      <c r="E153" s="297"/>
      <c r="F153" s="297"/>
      <c r="G153" s="300">
        <f>SUM(G154:G156,G157:G159)</f>
        <v>183.52</v>
      </c>
      <c r="H153" s="211">
        <f>SUM(H154:H156,H157:H159)</f>
        <v>299.41999999999996</v>
      </c>
      <c r="I153" s="212">
        <f>SUM(I154:I156,I157:I159)</f>
        <v>230.59</v>
      </c>
    </row>
    <row r="154" spans="1:10" s="71" customFormat="1" ht="78.75">
      <c r="A154" s="132">
        <v>108</v>
      </c>
      <c r="B154" s="133" t="s">
        <v>335</v>
      </c>
      <c r="C154" s="83" t="s">
        <v>811</v>
      </c>
      <c r="D154" s="83">
        <v>7.9</v>
      </c>
      <c r="E154" s="83">
        <v>2.5</v>
      </c>
      <c r="F154" s="83">
        <v>2.7</v>
      </c>
      <c r="G154" s="288">
        <f t="shared" si="2"/>
        <v>19.75</v>
      </c>
      <c r="H154" s="84">
        <f>10*3.5</f>
        <v>35</v>
      </c>
      <c r="I154" s="84"/>
      <c r="J154" s="71" t="s">
        <v>1179</v>
      </c>
    </row>
    <row r="155" spans="1:9" s="71" customFormat="1" ht="78.75">
      <c r="A155" s="176">
        <v>109</v>
      </c>
      <c r="B155" s="178" t="s">
        <v>699</v>
      </c>
      <c r="C155" s="83" t="s">
        <v>700</v>
      </c>
      <c r="D155" s="83">
        <v>6</v>
      </c>
      <c r="E155" s="83">
        <v>2.5</v>
      </c>
      <c r="F155" s="83">
        <v>2.3</v>
      </c>
      <c r="G155" s="83">
        <f>D155*E155</f>
        <v>15</v>
      </c>
      <c r="H155" s="84">
        <f>8*4</f>
        <v>32</v>
      </c>
      <c r="I155" s="84"/>
    </row>
    <row r="156" spans="1:9" s="126" customFormat="1" ht="78.75">
      <c r="A156" s="267">
        <v>110</v>
      </c>
      <c r="B156" s="268" t="s">
        <v>147</v>
      </c>
      <c r="C156" s="285" t="s">
        <v>1157</v>
      </c>
      <c r="D156" s="202">
        <v>10.3</v>
      </c>
      <c r="E156" s="202">
        <v>3.2</v>
      </c>
      <c r="F156" s="202">
        <v>2.2</v>
      </c>
      <c r="G156" s="303">
        <f>D156*E156+3.2*2.1</f>
        <v>39.68</v>
      </c>
      <c r="H156" s="286">
        <f>12*4.5+2.5*3</f>
        <v>61.5</v>
      </c>
      <c r="I156" s="203">
        <f>22.3*3.2</f>
        <v>71.36</v>
      </c>
    </row>
    <row r="157" spans="1:9" s="71" customFormat="1" ht="78.75">
      <c r="A157" s="176">
        <v>111</v>
      </c>
      <c r="B157" s="178" t="s">
        <v>148</v>
      </c>
      <c r="C157" s="83" t="s">
        <v>703</v>
      </c>
      <c r="D157" s="83">
        <v>6.7</v>
      </c>
      <c r="E157" s="83">
        <v>2.6</v>
      </c>
      <c r="F157" s="83">
        <v>2.75</v>
      </c>
      <c r="G157" s="83">
        <f>D157*E157</f>
        <v>17.42</v>
      </c>
      <c r="H157" s="287">
        <f>8.7*4.1</f>
        <v>35.669999999999995</v>
      </c>
      <c r="I157" s="84"/>
    </row>
    <row r="158" spans="1:9" s="71" customFormat="1" ht="78.75">
      <c r="A158" s="233">
        <v>112</v>
      </c>
      <c r="B158" s="201" t="s">
        <v>149</v>
      </c>
      <c r="C158" s="202" t="s">
        <v>1158</v>
      </c>
      <c r="D158" s="202">
        <v>10.3</v>
      </c>
      <c r="E158" s="202">
        <v>3.2</v>
      </c>
      <c r="F158" s="202">
        <v>2.2</v>
      </c>
      <c r="G158" s="202">
        <f>D158*E158+3.1*2.9</f>
        <v>41.95</v>
      </c>
      <c r="H158" s="286">
        <f>12*4.5+3.5*3.5</f>
        <v>66.25</v>
      </c>
      <c r="I158" s="203">
        <f>23.4*3</f>
        <v>70.19999999999999</v>
      </c>
    </row>
    <row r="159" spans="1:9" s="126" customFormat="1" ht="78.75">
      <c r="A159" s="267">
        <v>113</v>
      </c>
      <c r="B159" s="268" t="s">
        <v>150</v>
      </c>
      <c r="C159" s="202" t="s">
        <v>1159</v>
      </c>
      <c r="D159" s="202">
        <v>10.1</v>
      </c>
      <c r="E159" s="202">
        <v>3.2</v>
      </c>
      <c r="F159" s="202">
        <v>2.2</v>
      </c>
      <c r="G159" s="202">
        <f>D159*E159+5.8*3</f>
        <v>49.72</v>
      </c>
      <c r="H159" s="286">
        <f>12*4+6*3.5</f>
        <v>69</v>
      </c>
      <c r="I159" s="203">
        <f>30.7*2.9</f>
        <v>89.03</v>
      </c>
    </row>
    <row r="160" spans="1:9" s="186" customFormat="1" ht="15.75">
      <c r="A160" s="187">
        <v>114</v>
      </c>
      <c r="B160" s="188" t="s">
        <v>151</v>
      </c>
      <c r="C160" s="189" t="s">
        <v>708</v>
      </c>
      <c r="D160" s="189"/>
      <c r="E160" s="189"/>
      <c r="F160" s="189"/>
      <c r="G160" s="189"/>
      <c r="H160" s="184"/>
      <c r="I160" s="184"/>
    </row>
    <row r="161" spans="1:9" s="71" customFormat="1" ht="63">
      <c r="A161" s="243">
        <v>115</v>
      </c>
      <c r="B161" s="244" t="s">
        <v>152</v>
      </c>
      <c r="C161" s="83" t="s">
        <v>718</v>
      </c>
      <c r="D161" s="83">
        <v>4.6</v>
      </c>
      <c r="E161" s="83">
        <v>2.6</v>
      </c>
      <c r="F161" s="83">
        <v>2.2</v>
      </c>
      <c r="G161" s="83">
        <f>D161*E161</f>
        <v>11.959999999999999</v>
      </c>
      <c r="H161" s="84"/>
      <c r="I161" s="84"/>
    </row>
    <row r="162" spans="1:9" s="71" customFormat="1" ht="31.5">
      <c r="A162" s="243">
        <v>116</v>
      </c>
      <c r="B162" s="244" t="s">
        <v>153</v>
      </c>
      <c r="C162" s="83" t="s">
        <v>389</v>
      </c>
      <c r="D162" s="83"/>
      <c r="E162" s="83"/>
      <c r="F162" s="83"/>
      <c r="G162" s="83"/>
      <c r="H162" s="70"/>
      <c r="I162" s="70"/>
    </row>
    <row r="163" spans="1:9" s="71" customFormat="1" ht="78.75">
      <c r="A163" s="243">
        <v>117</v>
      </c>
      <c r="B163" s="244" t="s">
        <v>154</v>
      </c>
      <c r="C163" s="83" t="s">
        <v>716</v>
      </c>
      <c r="D163" s="83">
        <v>10.4</v>
      </c>
      <c r="E163" s="83">
        <v>2.3</v>
      </c>
      <c r="F163" s="83">
        <v>2.7</v>
      </c>
      <c r="G163" s="83">
        <f>D163*E163</f>
        <v>23.919999999999998</v>
      </c>
      <c r="H163" s="84"/>
      <c r="I163" s="84"/>
    </row>
    <row r="164" spans="1:9" s="71" customFormat="1" ht="63">
      <c r="A164" s="243">
        <v>118</v>
      </c>
      <c r="B164" s="244" t="s">
        <v>712</v>
      </c>
      <c r="C164" s="83" t="s">
        <v>713</v>
      </c>
      <c r="D164" s="83">
        <v>3.5</v>
      </c>
      <c r="E164" s="83">
        <v>1.8</v>
      </c>
      <c r="F164" s="83">
        <v>2.5</v>
      </c>
      <c r="G164" s="83">
        <f>D164*E164</f>
        <v>6.3</v>
      </c>
      <c r="H164" s="84"/>
      <c r="I164" s="84"/>
    </row>
    <row r="165" spans="1:9" s="71" customFormat="1" ht="78.75">
      <c r="A165" s="243">
        <v>119</v>
      </c>
      <c r="B165" s="244" t="s">
        <v>709</v>
      </c>
      <c r="C165" s="83" t="s">
        <v>710</v>
      </c>
      <c r="D165" s="83">
        <v>14</v>
      </c>
      <c r="E165" s="83">
        <v>7.5</v>
      </c>
      <c r="F165" s="83">
        <v>3.4</v>
      </c>
      <c r="G165" s="83">
        <f>D165*E165</f>
        <v>105</v>
      </c>
      <c r="H165" s="84"/>
      <c r="I165" s="84"/>
    </row>
    <row r="166" spans="1:9" s="270" customFormat="1" ht="15.75">
      <c r="A166" s="391" t="s">
        <v>157</v>
      </c>
      <c r="B166" s="392"/>
      <c r="C166" s="393"/>
      <c r="D166" s="297"/>
      <c r="E166" s="297"/>
      <c r="F166" s="297"/>
      <c r="G166" s="300">
        <f>SUM(G168:G173)</f>
        <v>221.47999999999996</v>
      </c>
      <c r="H166" s="211">
        <f>SUM(H168:H173)</f>
        <v>358.94</v>
      </c>
      <c r="I166" s="212">
        <f>SUM(I168:I173)</f>
        <v>249.01</v>
      </c>
    </row>
    <row r="167" spans="1:9" s="71" customFormat="1" ht="15.75">
      <c r="A167" s="396">
        <v>120</v>
      </c>
      <c r="B167" s="398" t="s">
        <v>751</v>
      </c>
      <c r="C167" s="83" t="s">
        <v>241</v>
      </c>
      <c r="D167" s="83">
        <v>7.9</v>
      </c>
      <c r="E167" s="83">
        <v>3.3</v>
      </c>
      <c r="F167" s="83"/>
      <c r="G167" s="288">
        <f>D167*E167</f>
        <v>26.07</v>
      </c>
      <c r="H167" s="84"/>
      <c r="I167" s="84"/>
    </row>
    <row r="168" spans="1:9" s="71" customFormat="1" ht="78.75">
      <c r="A168" s="397"/>
      <c r="B168" s="399"/>
      <c r="C168" s="83" t="s">
        <v>752</v>
      </c>
      <c r="D168" s="83">
        <v>15.1</v>
      </c>
      <c r="E168" s="83">
        <v>5.6</v>
      </c>
      <c r="F168" s="83">
        <v>3.45</v>
      </c>
      <c r="G168" s="288">
        <f>D168*E168-G167+1.5*1.2*2</f>
        <v>62.08999999999999</v>
      </c>
      <c r="H168" s="287">
        <f>17.1*7.1-G167+1.2*1.5*2</f>
        <v>98.94</v>
      </c>
      <c r="I168" s="84"/>
    </row>
    <row r="169" spans="1:9" s="270" customFormat="1" ht="94.5">
      <c r="A169" s="233">
        <v>121</v>
      </c>
      <c r="B169" s="201" t="s">
        <v>158</v>
      </c>
      <c r="C169" s="210" t="s">
        <v>1127</v>
      </c>
      <c r="D169" s="210">
        <v>10</v>
      </c>
      <c r="E169" s="210">
        <v>3</v>
      </c>
      <c r="F169" s="210">
        <v>2.2</v>
      </c>
      <c r="G169" s="210">
        <f>D169*E169</f>
        <v>30</v>
      </c>
      <c r="H169" s="211">
        <f>12*3.5</f>
        <v>42</v>
      </c>
      <c r="I169" s="211">
        <f>25*2.8</f>
        <v>70</v>
      </c>
    </row>
    <row r="170" spans="1:9" s="270" customFormat="1" ht="94.5">
      <c r="A170" s="233">
        <v>122</v>
      </c>
      <c r="B170" s="201" t="s">
        <v>159</v>
      </c>
      <c r="C170" s="210" t="s">
        <v>1127</v>
      </c>
      <c r="D170" s="210">
        <v>10</v>
      </c>
      <c r="E170" s="210">
        <v>3</v>
      </c>
      <c r="F170" s="210">
        <v>2.2</v>
      </c>
      <c r="G170" s="210">
        <f aca="true" t="shared" si="3" ref="G170:G233">D170*E170</f>
        <v>30</v>
      </c>
      <c r="H170" s="211">
        <f>12*3.5</f>
        <v>42</v>
      </c>
      <c r="I170" s="211">
        <f>25*2.9</f>
        <v>72.5</v>
      </c>
    </row>
    <row r="171" spans="1:9" s="71" customFormat="1" ht="78.75">
      <c r="A171" s="32">
        <v>123</v>
      </c>
      <c r="B171" s="201" t="s">
        <v>160</v>
      </c>
      <c r="C171" s="290" t="s">
        <v>1169</v>
      </c>
      <c r="D171" s="210">
        <v>10.2</v>
      </c>
      <c r="E171" s="210">
        <v>3.1</v>
      </c>
      <c r="F171" s="210">
        <v>2.2</v>
      </c>
      <c r="G171" s="304">
        <f t="shared" si="3"/>
        <v>31.619999999999997</v>
      </c>
      <c r="H171" s="212">
        <f>12*4+1*2*2</f>
        <v>52</v>
      </c>
      <c r="I171" s="211">
        <f>16.3*2.7</f>
        <v>44.010000000000005</v>
      </c>
    </row>
    <row r="172" spans="1:9" s="126" customFormat="1" ht="78.75">
      <c r="A172" s="42">
        <v>124</v>
      </c>
      <c r="B172" s="268" t="s">
        <v>161</v>
      </c>
      <c r="C172" s="285" t="s">
        <v>1170</v>
      </c>
      <c r="D172" s="202">
        <v>9.5</v>
      </c>
      <c r="E172" s="202">
        <v>3.3</v>
      </c>
      <c r="F172" s="202"/>
      <c r="G172" s="303">
        <f>D172*E172+2.1*1.8+4.8*1.5</f>
        <v>42.33</v>
      </c>
      <c r="H172" s="203">
        <f>11.5*4+5*2+2.5*2</f>
        <v>61</v>
      </c>
      <c r="I172" s="203">
        <f>25*2.5</f>
        <v>62.5</v>
      </c>
    </row>
    <row r="173" spans="1:9" s="71" customFormat="1" ht="94.5">
      <c r="A173" s="170">
        <v>125</v>
      </c>
      <c r="B173" s="171" t="s">
        <v>162</v>
      </c>
      <c r="C173" s="83" t="s">
        <v>871</v>
      </c>
      <c r="D173" s="83">
        <v>12</v>
      </c>
      <c r="E173" s="83">
        <v>1</v>
      </c>
      <c r="F173" s="83">
        <v>2.5</v>
      </c>
      <c r="G173" s="83">
        <f>D173*E173+2.8*4.8</f>
        <v>25.439999999999998</v>
      </c>
      <c r="H173" s="84">
        <f>14*4.5</f>
        <v>63</v>
      </c>
      <c r="I173" s="84"/>
    </row>
    <row r="174" spans="1:9" s="270" customFormat="1" ht="15.75">
      <c r="A174" s="391" t="s">
        <v>163</v>
      </c>
      <c r="B174" s="392"/>
      <c r="C174" s="393"/>
      <c r="D174" s="297"/>
      <c r="E174" s="297"/>
      <c r="F174" s="297"/>
      <c r="G174" s="300">
        <f>SUM(G175:G177)</f>
        <v>127.40500000000002</v>
      </c>
      <c r="H174" s="212">
        <f>SUM(H175:H177)</f>
        <v>197.25</v>
      </c>
      <c r="I174" s="212">
        <f>SUM(I175:I177)</f>
        <v>72.8</v>
      </c>
    </row>
    <row r="175" spans="1:9" s="71" customFormat="1" ht="94.5">
      <c r="A175" s="134">
        <v>126</v>
      </c>
      <c r="B175" s="178" t="s">
        <v>164</v>
      </c>
      <c r="C175" s="83" t="s">
        <v>513</v>
      </c>
      <c r="D175" s="83">
        <v>9.25</v>
      </c>
      <c r="E175" s="83">
        <v>3.85</v>
      </c>
      <c r="F175" s="83">
        <v>2.2</v>
      </c>
      <c r="G175" s="288">
        <f>D175*E175+1.3*1.8</f>
        <v>37.95250000000001</v>
      </c>
      <c r="H175" s="84">
        <f>11*5</f>
        <v>55</v>
      </c>
      <c r="I175" s="84"/>
    </row>
    <row r="176" spans="1:9" s="71" customFormat="1" ht="94.5">
      <c r="A176" s="283">
        <v>127</v>
      </c>
      <c r="B176" s="305" t="s">
        <v>165</v>
      </c>
      <c r="C176" s="83" t="s">
        <v>644</v>
      </c>
      <c r="D176" s="83">
        <v>18.8</v>
      </c>
      <c r="E176" s="83">
        <v>3.8</v>
      </c>
      <c r="F176" s="83">
        <v>2.6</v>
      </c>
      <c r="G176" s="288">
        <f t="shared" si="3"/>
        <v>71.44</v>
      </c>
      <c r="H176" s="84">
        <f>20.8*5</f>
        <v>104</v>
      </c>
      <c r="I176" s="84"/>
    </row>
    <row r="177" spans="1:9" s="71" customFormat="1" ht="63">
      <c r="A177" s="176">
        <v>128</v>
      </c>
      <c r="B177" s="178" t="s">
        <v>166</v>
      </c>
      <c r="C177" s="83" t="s">
        <v>443</v>
      </c>
      <c r="D177" s="83">
        <v>6.55</v>
      </c>
      <c r="E177" s="83">
        <v>2.75</v>
      </c>
      <c r="F177" s="83"/>
      <c r="G177" s="288">
        <f t="shared" si="3"/>
        <v>18.0125</v>
      </c>
      <c r="H177" s="84">
        <f>8.5*4.5</f>
        <v>38.25</v>
      </c>
      <c r="I177" s="84">
        <v>72.8</v>
      </c>
    </row>
    <row r="178" spans="1:9" s="270" customFormat="1" ht="15.75">
      <c r="A178" s="391" t="s">
        <v>653</v>
      </c>
      <c r="B178" s="392"/>
      <c r="C178" s="393"/>
      <c r="D178" s="297"/>
      <c r="E178" s="297"/>
      <c r="F178" s="297"/>
      <c r="G178" s="300">
        <f>SUM(G179:G182)</f>
        <v>57.80700000000001</v>
      </c>
      <c r="H178" s="211">
        <f>SUM(H179:H182)</f>
        <v>115.9</v>
      </c>
      <c r="I178" s="212">
        <f>SUM(I179:I182)</f>
        <v>0</v>
      </c>
    </row>
    <row r="179" spans="1:9" s="71" customFormat="1" ht="78.75">
      <c r="A179" s="176">
        <v>129</v>
      </c>
      <c r="B179" s="178" t="s">
        <v>654</v>
      </c>
      <c r="C179" s="83" t="s">
        <v>655</v>
      </c>
      <c r="D179" s="83">
        <v>9</v>
      </c>
      <c r="E179" s="83">
        <v>3.3</v>
      </c>
      <c r="F179" s="83">
        <v>2.6</v>
      </c>
      <c r="G179" s="83">
        <f t="shared" si="3"/>
        <v>29.7</v>
      </c>
      <c r="H179" s="84">
        <f>11*4.5</f>
        <v>49.5</v>
      </c>
      <c r="I179" s="84"/>
    </row>
    <row r="180" spans="1:9" s="71" customFormat="1" ht="15.75">
      <c r="A180" s="243"/>
      <c r="B180" s="244" t="s">
        <v>1178</v>
      </c>
      <c r="C180" s="83"/>
      <c r="D180" s="83"/>
      <c r="E180" s="83"/>
      <c r="F180" s="83"/>
      <c r="G180" s="83"/>
      <c r="H180" s="84"/>
      <c r="I180" s="84"/>
    </row>
    <row r="181" spans="1:9" s="71" customFormat="1" ht="47.25">
      <c r="A181" s="176">
        <v>130</v>
      </c>
      <c r="B181" s="178" t="s">
        <v>640</v>
      </c>
      <c r="C181" s="83" t="s">
        <v>641</v>
      </c>
      <c r="D181" s="83">
        <v>10.8</v>
      </c>
      <c r="E181" s="83">
        <v>1.5</v>
      </c>
      <c r="F181" s="83"/>
      <c r="G181" s="83">
        <f t="shared" si="3"/>
        <v>16.200000000000003</v>
      </c>
      <c r="H181" s="84">
        <f>12.8*3</f>
        <v>38.400000000000006</v>
      </c>
      <c r="I181" s="84"/>
    </row>
    <row r="182" spans="1:9" s="71" customFormat="1" ht="63">
      <c r="A182" s="176">
        <v>131</v>
      </c>
      <c r="B182" s="178" t="s">
        <v>645</v>
      </c>
      <c r="C182" s="83" t="s">
        <v>646</v>
      </c>
      <c r="D182" s="83">
        <v>4.86</v>
      </c>
      <c r="E182" s="83">
        <v>2.45</v>
      </c>
      <c r="F182" s="83">
        <v>2.4</v>
      </c>
      <c r="G182" s="288">
        <f t="shared" si="3"/>
        <v>11.907000000000002</v>
      </c>
      <c r="H182" s="84">
        <f>7*4</f>
        <v>28</v>
      </c>
      <c r="I182" s="84"/>
    </row>
    <row r="183" spans="1:9" s="270" customFormat="1" ht="15.75">
      <c r="A183" s="391" t="s">
        <v>852</v>
      </c>
      <c r="B183" s="392"/>
      <c r="C183" s="393"/>
      <c r="D183" s="297"/>
      <c r="E183" s="297"/>
      <c r="F183" s="297"/>
      <c r="G183" s="297">
        <f>SUM(G184:G186)</f>
        <v>95.1</v>
      </c>
      <c r="H183" s="212">
        <f>SUM(H184:H186)</f>
        <v>178.5</v>
      </c>
      <c r="I183" s="212">
        <f>SUM(I184:I186)</f>
        <v>0</v>
      </c>
    </row>
    <row r="184" spans="1:9" s="71" customFormat="1" ht="78.75">
      <c r="A184" s="134">
        <v>132</v>
      </c>
      <c r="B184" s="244" t="s">
        <v>170</v>
      </c>
      <c r="C184" s="83" t="s">
        <v>739</v>
      </c>
      <c r="D184" s="83">
        <v>14</v>
      </c>
      <c r="E184" s="83">
        <v>2</v>
      </c>
      <c r="F184" s="83">
        <v>2.45</v>
      </c>
      <c r="G184" s="83">
        <f t="shared" si="3"/>
        <v>28</v>
      </c>
      <c r="H184" s="84">
        <f>16*3.5</f>
        <v>56</v>
      </c>
      <c r="I184" s="84"/>
    </row>
    <row r="185" spans="1:9" s="71" customFormat="1" ht="47.25">
      <c r="A185" s="170">
        <v>133</v>
      </c>
      <c r="B185" s="171" t="s">
        <v>171</v>
      </c>
      <c r="C185" s="83" t="s">
        <v>1184</v>
      </c>
      <c r="D185" s="83">
        <v>20</v>
      </c>
      <c r="E185" s="83">
        <v>2.2</v>
      </c>
      <c r="F185" s="83"/>
      <c r="G185" s="83">
        <f t="shared" si="3"/>
        <v>44</v>
      </c>
      <c r="H185" s="84">
        <f>22*3.5</f>
        <v>77</v>
      </c>
      <c r="I185" s="84"/>
    </row>
    <row r="186" spans="1:9" s="71" customFormat="1" ht="31.5">
      <c r="A186" s="176">
        <v>134</v>
      </c>
      <c r="B186" s="179" t="s">
        <v>741</v>
      </c>
      <c r="C186" s="83" t="s">
        <v>742</v>
      </c>
      <c r="D186" s="83">
        <v>11</v>
      </c>
      <c r="E186" s="83">
        <v>2.1</v>
      </c>
      <c r="F186" s="83"/>
      <c r="G186" s="83">
        <f t="shared" si="3"/>
        <v>23.1</v>
      </c>
      <c r="H186" s="84">
        <f>13*3.5</f>
        <v>45.5</v>
      </c>
      <c r="I186" s="84"/>
    </row>
    <row r="187" spans="1:9" s="270" customFormat="1" ht="15.75">
      <c r="A187" s="391" t="s">
        <v>858</v>
      </c>
      <c r="B187" s="392"/>
      <c r="C187" s="393"/>
      <c r="D187" s="297"/>
      <c r="E187" s="297"/>
      <c r="F187" s="297"/>
      <c r="G187" s="297">
        <f>SUM(G188:G191)</f>
        <v>72.9</v>
      </c>
      <c r="H187" s="212">
        <f>SUM(H188:H191)</f>
        <v>144</v>
      </c>
      <c r="I187" s="212">
        <f>SUM(I188:I191)</f>
        <v>0</v>
      </c>
    </row>
    <row r="188" spans="1:9" s="71" customFormat="1" ht="78.75">
      <c r="A188" s="176">
        <v>135</v>
      </c>
      <c r="B188" s="178" t="s">
        <v>233</v>
      </c>
      <c r="C188" s="83" t="s">
        <v>609</v>
      </c>
      <c r="D188" s="83">
        <v>6.2</v>
      </c>
      <c r="E188" s="83">
        <v>3</v>
      </c>
      <c r="F188" s="83">
        <v>2.4</v>
      </c>
      <c r="G188" s="83">
        <f t="shared" si="3"/>
        <v>18.6</v>
      </c>
      <c r="H188" s="84">
        <f>8*4.5</f>
        <v>36</v>
      </c>
      <c r="I188" s="84"/>
    </row>
    <row r="189" spans="1:9" s="71" customFormat="1" ht="63">
      <c r="A189" s="176">
        <v>136</v>
      </c>
      <c r="B189" s="178" t="s">
        <v>234</v>
      </c>
      <c r="C189" s="83" t="s">
        <v>605</v>
      </c>
      <c r="D189" s="83">
        <v>6.2</v>
      </c>
      <c r="E189" s="83">
        <v>3</v>
      </c>
      <c r="F189" s="83">
        <v>2.4</v>
      </c>
      <c r="G189" s="83">
        <f t="shared" si="3"/>
        <v>18.6</v>
      </c>
      <c r="H189" s="84">
        <f>8*4.5</f>
        <v>36</v>
      </c>
      <c r="I189" s="84"/>
    </row>
    <row r="190" spans="1:9" s="71" customFormat="1" ht="63">
      <c r="A190" s="176">
        <v>137</v>
      </c>
      <c r="B190" s="178" t="s">
        <v>564</v>
      </c>
      <c r="C190" s="83" t="s">
        <v>605</v>
      </c>
      <c r="D190" s="83">
        <v>6.3</v>
      </c>
      <c r="E190" s="83">
        <v>3</v>
      </c>
      <c r="F190" s="83">
        <v>2.4</v>
      </c>
      <c r="G190" s="83">
        <f t="shared" si="3"/>
        <v>18.9</v>
      </c>
      <c r="H190" s="84">
        <f>8*4.5</f>
        <v>36</v>
      </c>
      <c r="I190" s="84"/>
    </row>
    <row r="191" spans="1:9" s="71" customFormat="1" ht="78.75">
      <c r="A191" s="176">
        <v>138</v>
      </c>
      <c r="B191" s="178" t="s">
        <v>544</v>
      </c>
      <c r="C191" s="83" t="s">
        <v>607</v>
      </c>
      <c r="D191" s="83">
        <v>6</v>
      </c>
      <c r="E191" s="83">
        <v>2.8</v>
      </c>
      <c r="F191" s="83">
        <v>2.4</v>
      </c>
      <c r="G191" s="83">
        <f t="shared" si="3"/>
        <v>16.799999999999997</v>
      </c>
      <c r="H191" s="84">
        <f>8*4.5</f>
        <v>36</v>
      </c>
      <c r="I191" s="84"/>
    </row>
    <row r="192" spans="1:9" s="270" customFormat="1" ht="15.75">
      <c r="A192" s="391" t="s">
        <v>173</v>
      </c>
      <c r="B192" s="392"/>
      <c r="C192" s="393"/>
      <c r="D192" s="297"/>
      <c r="E192" s="297"/>
      <c r="F192" s="297"/>
      <c r="G192" s="297">
        <f>SUM(G193)</f>
        <v>40.5</v>
      </c>
      <c r="H192" s="211">
        <f>SUM(H193)</f>
        <v>61.75</v>
      </c>
      <c r="I192" s="212">
        <f>SUM(I193)</f>
        <v>57.3</v>
      </c>
    </row>
    <row r="193" spans="1:9" s="126" customFormat="1" ht="78.75">
      <c r="A193" s="127">
        <v>139</v>
      </c>
      <c r="B193" s="242" t="s">
        <v>911</v>
      </c>
      <c r="C193" s="240" t="s">
        <v>1152</v>
      </c>
      <c r="D193" s="240">
        <v>8.1</v>
      </c>
      <c r="E193" s="240">
        <v>5</v>
      </c>
      <c r="F193" s="240"/>
      <c r="G193" s="240">
        <f t="shared" si="3"/>
        <v>40.5</v>
      </c>
      <c r="H193" s="124">
        <f>9.5*6.5</f>
        <v>61.75</v>
      </c>
      <c r="I193" s="124">
        <v>57.3</v>
      </c>
    </row>
    <row r="194" spans="1:9" s="270" customFormat="1" ht="15.75">
      <c r="A194" s="391" t="s">
        <v>448</v>
      </c>
      <c r="B194" s="392"/>
      <c r="C194" s="393"/>
      <c r="D194" s="297"/>
      <c r="E194" s="297"/>
      <c r="F194" s="297"/>
      <c r="G194" s="297">
        <f>SUM(G195:G197)</f>
        <v>66.39999999999999</v>
      </c>
      <c r="H194" s="212">
        <f>SUM(H195:H197)</f>
        <v>105</v>
      </c>
      <c r="I194" s="212">
        <f>SUM(I195:I197)</f>
        <v>0</v>
      </c>
    </row>
    <row r="195" spans="1:9" s="71" customFormat="1" ht="31.5">
      <c r="A195" s="176">
        <v>140</v>
      </c>
      <c r="B195" s="178" t="s">
        <v>205</v>
      </c>
      <c r="C195" s="83" t="s">
        <v>389</v>
      </c>
      <c r="D195" s="83"/>
      <c r="E195" s="83"/>
      <c r="F195" s="83"/>
      <c r="G195" s="83">
        <f t="shared" si="3"/>
        <v>0</v>
      </c>
      <c r="H195" s="70"/>
      <c r="I195" s="70"/>
    </row>
    <row r="196" spans="1:9" s="71" customFormat="1" ht="94.5">
      <c r="A196" s="170">
        <v>141</v>
      </c>
      <c r="B196" s="171" t="s">
        <v>449</v>
      </c>
      <c r="C196" s="83" t="s">
        <v>545</v>
      </c>
      <c r="D196" s="83">
        <v>13.2</v>
      </c>
      <c r="E196" s="83">
        <v>3.8</v>
      </c>
      <c r="F196" s="83">
        <v>2.66</v>
      </c>
      <c r="G196" s="288">
        <f t="shared" si="3"/>
        <v>50.16</v>
      </c>
      <c r="H196" s="84">
        <f>15*5</f>
        <v>75</v>
      </c>
      <c r="I196" s="84"/>
    </row>
    <row r="197" spans="1:9" s="71" customFormat="1" ht="63">
      <c r="A197" s="176">
        <v>142</v>
      </c>
      <c r="B197" s="178" t="s">
        <v>206</v>
      </c>
      <c r="C197" s="83" t="s">
        <v>515</v>
      </c>
      <c r="D197" s="83">
        <v>5.6</v>
      </c>
      <c r="E197" s="83">
        <v>2.9</v>
      </c>
      <c r="F197" s="83">
        <v>2.6</v>
      </c>
      <c r="G197" s="288">
        <f t="shared" si="3"/>
        <v>16.24</v>
      </c>
      <c r="H197" s="84">
        <f>7.5*4</f>
        <v>30</v>
      </c>
      <c r="I197" s="84"/>
    </row>
    <row r="198" spans="1:9" s="270" customFormat="1" ht="15.75">
      <c r="A198" s="391" t="s">
        <v>1121</v>
      </c>
      <c r="B198" s="392"/>
      <c r="C198" s="393"/>
      <c r="D198" s="297"/>
      <c r="E198" s="297"/>
      <c r="F198" s="297"/>
      <c r="G198" s="297">
        <f>SUM(G199)</f>
        <v>24</v>
      </c>
      <c r="H198" s="212">
        <f>SUM(H199)</f>
        <v>40</v>
      </c>
      <c r="I198" s="212">
        <f>SUM(I199)</f>
        <v>24</v>
      </c>
    </row>
    <row r="199" spans="1:9" s="269" customFormat="1" ht="78.75">
      <c r="A199" s="271">
        <v>226</v>
      </c>
      <c r="B199" s="272" t="s">
        <v>1122</v>
      </c>
      <c r="C199" s="202" t="s">
        <v>1123</v>
      </c>
      <c r="D199" s="202">
        <v>8</v>
      </c>
      <c r="E199" s="202">
        <v>3</v>
      </c>
      <c r="F199" s="202">
        <v>2.2</v>
      </c>
      <c r="G199" s="202">
        <f t="shared" si="3"/>
        <v>24</v>
      </c>
      <c r="H199" s="203">
        <f>10*4</f>
        <v>40</v>
      </c>
      <c r="I199" s="203">
        <v>24</v>
      </c>
    </row>
    <row r="200" spans="1:9" s="270" customFormat="1" ht="15.75">
      <c r="A200" s="391" t="s">
        <v>815</v>
      </c>
      <c r="B200" s="392"/>
      <c r="C200" s="393"/>
      <c r="D200" s="297"/>
      <c r="E200" s="297"/>
      <c r="F200" s="297"/>
      <c r="G200" s="297">
        <f>SUM(G201)</f>
        <v>12</v>
      </c>
      <c r="H200" s="211">
        <f>SUM(H201)</f>
        <v>41.25</v>
      </c>
      <c r="I200" s="212">
        <f>SUM(I201)</f>
        <v>0</v>
      </c>
    </row>
    <row r="201" spans="1:9" s="71" customFormat="1" ht="78.75">
      <c r="A201" s="243">
        <v>143</v>
      </c>
      <c r="B201" s="244" t="s">
        <v>816</v>
      </c>
      <c r="C201" s="83" t="s">
        <v>817</v>
      </c>
      <c r="D201" s="83">
        <v>10</v>
      </c>
      <c r="E201" s="83">
        <v>1.2</v>
      </c>
      <c r="F201" s="83">
        <v>2.6</v>
      </c>
      <c r="G201" s="83">
        <f t="shared" si="3"/>
        <v>12</v>
      </c>
      <c r="H201" s="84">
        <f>12*2.5+4.5*2.5</f>
        <v>41.25</v>
      </c>
      <c r="I201" s="84"/>
    </row>
    <row r="202" spans="1:9" s="270" customFormat="1" ht="15.75">
      <c r="A202" s="391" t="s">
        <v>175</v>
      </c>
      <c r="B202" s="392"/>
      <c r="C202" s="393"/>
      <c r="D202" s="297"/>
      <c r="E202" s="297"/>
      <c r="F202" s="297"/>
      <c r="G202" s="300">
        <f>SUM(G203:G206)</f>
        <v>59.75</v>
      </c>
      <c r="H202" s="212">
        <f>SUM(H203:H206)</f>
        <v>113</v>
      </c>
      <c r="I202" s="212">
        <f>SUM(I203:I206)</f>
        <v>0</v>
      </c>
    </row>
    <row r="203" spans="1:9" s="71" customFormat="1" ht="31.5">
      <c r="A203" s="176">
        <v>144</v>
      </c>
      <c r="B203" s="178" t="s">
        <v>882</v>
      </c>
      <c r="C203" s="83" t="s">
        <v>389</v>
      </c>
      <c r="D203" s="83"/>
      <c r="E203" s="83"/>
      <c r="F203" s="83"/>
      <c r="G203" s="83">
        <f t="shared" si="3"/>
        <v>0</v>
      </c>
      <c r="H203" s="70"/>
      <c r="I203" s="70"/>
    </row>
    <row r="204" spans="1:9" s="71" customFormat="1" ht="47.25">
      <c r="A204" s="176">
        <v>145</v>
      </c>
      <c r="B204" s="178" t="s">
        <v>883</v>
      </c>
      <c r="C204" s="83" t="s">
        <v>671</v>
      </c>
      <c r="D204" s="83">
        <v>6</v>
      </c>
      <c r="E204" s="83">
        <v>2</v>
      </c>
      <c r="F204" s="83"/>
      <c r="G204" s="83">
        <f t="shared" si="3"/>
        <v>12</v>
      </c>
      <c r="H204" s="84">
        <f>8*3.5</f>
        <v>28</v>
      </c>
      <c r="I204" s="84"/>
    </row>
    <row r="205" spans="1:9" s="71" customFormat="1" ht="63">
      <c r="A205" s="213">
        <v>146</v>
      </c>
      <c r="B205" s="214" t="s">
        <v>884</v>
      </c>
      <c r="C205" s="83" t="s">
        <v>820</v>
      </c>
      <c r="D205" s="83">
        <v>5</v>
      </c>
      <c r="E205" s="83">
        <v>1.1</v>
      </c>
      <c r="F205" s="83">
        <v>2.8</v>
      </c>
      <c r="G205" s="83">
        <f t="shared" si="3"/>
        <v>5.5</v>
      </c>
      <c r="H205" s="84">
        <f>7*2.5</f>
        <v>17.5</v>
      </c>
      <c r="I205" s="84"/>
    </row>
    <row r="206" spans="1:9" s="71" customFormat="1" ht="78.75">
      <c r="A206" s="176">
        <v>146</v>
      </c>
      <c r="B206" s="178" t="s">
        <v>885</v>
      </c>
      <c r="C206" s="83" t="s">
        <v>886</v>
      </c>
      <c r="D206" s="83">
        <v>13</v>
      </c>
      <c r="E206" s="83">
        <v>3.25</v>
      </c>
      <c r="F206" s="83">
        <v>2.2</v>
      </c>
      <c r="G206" s="83">
        <f t="shared" si="3"/>
        <v>42.25</v>
      </c>
      <c r="H206" s="84">
        <f>15*4.5</f>
        <v>67.5</v>
      </c>
      <c r="I206" s="84"/>
    </row>
    <row r="207" spans="1:9" s="270" customFormat="1" ht="15.75">
      <c r="A207" s="391" t="s">
        <v>178</v>
      </c>
      <c r="B207" s="392"/>
      <c r="C207" s="393"/>
      <c r="D207" s="297"/>
      <c r="E207" s="297"/>
      <c r="F207" s="297"/>
      <c r="G207" s="300">
        <f>SUM(G209:G218)</f>
        <v>123.08120000000001</v>
      </c>
      <c r="H207" s="211">
        <f>SUM(H209:H218)</f>
        <v>238.49</v>
      </c>
      <c r="I207" s="212">
        <f>SUM(I209:I218)</f>
        <v>0</v>
      </c>
    </row>
    <row r="208" spans="1:9" s="71" customFormat="1" ht="15.75">
      <c r="A208" s="396">
        <v>147</v>
      </c>
      <c r="B208" s="398" t="s">
        <v>912</v>
      </c>
      <c r="C208" s="83" t="s">
        <v>341</v>
      </c>
      <c r="D208" s="83">
        <v>3.7</v>
      </c>
      <c r="E208" s="83">
        <v>2.3</v>
      </c>
      <c r="F208" s="83"/>
      <c r="G208" s="83">
        <f t="shared" si="3"/>
        <v>8.51</v>
      </c>
      <c r="H208" s="84">
        <f>D208*E208</f>
        <v>8.51</v>
      </c>
      <c r="I208" s="84"/>
    </row>
    <row r="209" spans="1:9" s="71" customFormat="1" ht="94.5">
      <c r="A209" s="397"/>
      <c r="B209" s="399"/>
      <c r="C209" s="83" t="s">
        <v>516</v>
      </c>
      <c r="D209" s="83">
        <v>11.3</v>
      </c>
      <c r="E209" s="83">
        <v>3.1</v>
      </c>
      <c r="F209" s="83">
        <v>2.8</v>
      </c>
      <c r="G209" s="83">
        <f>D209*E209-G208</f>
        <v>26.520000000000003</v>
      </c>
      <c r="H209" s="84">
        <f>13*4.5-H208</f>
        <v>49.99</v>
      </c>
      <c r="I209" s="84"/>
    </row>
    <row r="210" spans="1:9" s="71" customFormat="1" ht="94.5">
      <c r="A210" s="206">
        <v>148</v>
      </c>
      <c r="B210" s="201" t="s">
        <v>913</v>
      </c>
      <c r="C210" s="202" t="s">
        <v>1128</v>
      </c>
      <c r="D210" s="202">
        <v>10</v>
      </c>
      <c r="E210" s="202">
        <v>3</v>
      </c>
      <c r="F210" s="202">
        <v>2.2</v>
      </c>
      <c r="G210" s="202">
        <f t="shared" si="3"/>
        <v>30</v>
      </c>
      <c r="H210" s="203">
        <f>12*4.5</f>
        <v>54</v>
      </c>
      <c r="I210" s="203"/>
    </row>
    <row r="211" spans="1:9" s="71" customFormat="1" ht="63">
      <c r="A211" s="170">
        <v>149</v>
      </c>
      <c r="B211" s="171" t="s">
        <v>914</v>
      </c>
      <c r="C211" s="83" t="s">
        <v>702</v>
      </c>
      <c r="D211" s="83">
        <v>11.2</v>
      </c>
      <c r="E211" s="83">
        <v>3.6</v>
      </c>
      <c r="F211" s="83">
        <v>2.5</v>
      </c>
      <c r="G211" s="83">
        <f t="shared" si="3"/>
        <v>40.32</v>
      </c>
      <c r="H211" s="84">
        <f>13*5</f>
        <v>65</v>
      </c>
      <c r="I211" s="84"/>
    </row>
    <row r="212" spans="1:9" s="71" customFormat="1" ht="47.25">
      <c r="A212" s="176">
        <v>150</v>
      </c>
      <c r="B212" s="178" t="s">
        <v>915</v>
      </c>
      <c r="C212" s="83" t="s">
        <v>389</v>
      </c>
      <c r="D212" s="83"/>
      <c r="E212" s="83"/>
      <c r="F212" s="83"/>
      <c r="G212" s="83">
        <f t="shared" si="3"/>
        <v>0</v>
      </c>
      <c r="H212" s="70"/>
      <c r="I212" s="70"/>
    </row>
    <row r="213" spans="1:9" s="71" customFormat="1" ht="31.5">
      <c r="A213" s="176">
        <v>151</v>
      </c>
      <c r="B213" s="178" t="s">
        <v>916</v>
      </c>
      <c r="C213" s="83" t="s">
        <v>389</v>
      </c>
      <c r="D213" s="83"/>
      <c r="E213" s="83"/>
      <c r="F213" s="83"/>
      <c r="G213" s="83">
        <f t="shared" si="3"/>
        <v>0</v>
      </c>
      <c r="H213" s="70"/>
      <c r="I213" s="70"/>
    </row>
    <row r="214" spans="1:9" s="71" customFormat="1" ht="63">
      <c r="A214" s="243">
        <v>152</v>
      </c>
      <c r="B214" s="201" t="s">
        <v>917</v>
      </c>
      <c r="C214" s="210" t="s">
        <v>548</v>
      </c>
      <c r="D214" s="210">
        <v>6</v>
      </c>
      <c r="E214" s="210">
        <v>1.4</v>
      </c>
      <c r="F214" s="210"/>
      <c r="G214" s="210">
        <f t="shared" si="3"/>
        <v>8.399999999999999</v>
      </c>
      <c r="H214" s="211">
        <f>8*3</f>
        <v>24</v>
      </c>
      <c r="I214" s="211"/>
    </row>
    <row r="215" spans="1:9" s="71" customFormat="1" ht="63">
      <c r="A215" s="176">
        <v>153</v>
      </c>
      <c r="B215" s="178" t="s">
        <v>918</v>
      </c>
      <c r="C215" s="83" t="s">
        <v>518</v>
      </c>
      <c r="D215" s="83">
        <v>4.8</v>
      </c>
      <c r="E215" s="83">
        <v>2.05</v>
      </c>
      <c r="F215" s="83">
        <v>2.4</v>
      </c>
      <c r="G215" s="83">
        <f t="shared" si="3"/>
        <v>9.839999999999998</v>
      </c>
      <c r="H215" s="84">
        <f>7*3.5</f>
        <v>24.5</v>
      </c>
      <c r="I215" s="84"/>
    </row>
    <row r="216" spans="1:9" s="71" customFormat="1" ht="31.5">
      <c r="A216" s="176">
        <v>154</v>
      </c>
      <c r="B216" s="178" t="s">
        <v>919</v>
      </c>
      <c r="C216" s="83" t="s">
        <v>389</v>
      </c>
      <c r="D216" s="83"/>
      <c r="E216" s="83"/>
      <c r="F216" s="83"/>
      <c r="G216" s="83">
        <f t="shared" si="3"/>
        <v>0</v>
      </c>
      <c r="H216" s="70"/>
      <c r="I216" s="70"/>
    </row>
    <row r="217" spans="1:9" s="71" customFormat="1" ht="31.5">
      <c r="A217" s="176">
        <v>155</v>
      </c>
      <c r="B217" s="178" t="s">
        <v>920</v>
      </c>
      <c r="C217" s="83" t="s">
        <v>389</v>
      </c>
      <c r="D217" s="83"/>
      <c r="E217" s="83"/>
      <c r="F217" s="83"/>
      <c r="G217" s="83">
        <f t="shared" si="3"/>
        <v>0</v>
      </c>
      <c r="H217" s="70"/>
      <c r="I217" s="70"/>
    </row>
    <row r="218" spans="1:9" s="71" customFormat="1" ht="78.75">
      <c r="A218" s="176">
        <v>156</v>
      </c>
      <c r="B218" s="178" t="s">
        <v>921</v>
      </c>
      <c r="C218" s="83" t="s">
        <v>715</v>
      </c>
      <c r="D218" s="83">
        <v>4.82</v>
      </c>
      <c r="E218" s="83">
        <v>1.66</v>
      </c>
      <c r="F218" s="83">
        <v>2.7</v>
      </c>
      <c r="G218" s="288">
        <f t="shared" si="3"/>
        <v>8.0012</v>
      </c>
      <c r="H218" s="84">
        <f>7*3</f>
        <v>21</v>
      </c>
      <c r="I218" s="84"/>
    </row>
    <row r="219" spans="1:9" s="270" customFormat="1" ht="15.75">
      <c r="A219" s="391" t="s">
        <v>187</v>
      </c>
      <c r="B219" s="392"/>
      <c r="C219" s="393"/>
      <c r="D219" s="297"/>
      <c r="E219" s="297"/>
      <c r="F219" s="297"/>
      <c r="G219" s="300">
        <f>SUM(G220:G225)</f>
        <v>75.10249999999999</v>
      </c>
      <c r="H219" s="211">
        <f>SUM(H220:H225)</f>
        <v>146.5</v>
      </c>
      <c r="I219" s="212">
        <f>SUM(I220:I225)</f>
        <v>0</v>
      </c>
    </row>
    <row r="220" spans="1:9" s="71" customFormat="1" ht="31.5">
      <c r="A220" s="176">
        <v>157</v>
      </c>
      <c r="B220" s="178" t="s">
        <v>123</v>
      </c>
      <c r="C220" s="83" t="s">
        <v>389</v>
      </c>
      <c r="D220" s="83"/>
      <c r="E220" s="83"/>
      <c r="F220" s="83"/>
      <c r="G220" s="83">
        <f t="shared" si="3"/>
        <v>0</v>
      </c>
      <c r="H220" s="70"/>
      <c r="I220" s="70"/>
    </row>
    <row r="221" spans="1:9" s="126" customFormat="1" ht="94.5">
      <c r="A221" s="122">
        <v>158</v>
      </c>
      <c r="B221" s="123" t="s">
        <v>188</v>
      </c>
      <c r="C221" s="174" t="s">
        <v>519</v>
      </c>
      <c r="D221" s="174">
        <v>6.1</v>
      </c>
      <c r="E221" s="174">
        <v>3.4</v>
      </c>
      <c r="F221" s="174">
        <v>2.35</v>
      </c>
      <c r="G221" s="240">
        <f t="shared" si="3"/>
        <v>20.74</v>
      </c>
      <c r="H221" s="124">
        <f>8*5</f>
        <v>40</v>
      </c>
      <c r="I221" s="124"/>
    </row>
    <row r="222" spans="1:9" s="126" customFormat="1" ht="31.5">
      <c r="A222" s="127">
        <v>159</v>
      </c>
      <c r="B222" s="175" t="s">
        <v>189</v>
      </c>
      <c r="C222" s="174" t="s">
        <v>389</v>
      </c>
      <c r="D222" s="174"/>
      <c r="E222" s="174"/>
      <c r="F222" s="174"/>
      <c r="G222" s="240">
        <f t="shared" si="3"/>
        <v>0</v>
      </c>
      <c r="H222" s="125"/>
      <c r="I222" s="125"/>
    </row>
    <row r="223" spans="1:9" s="126" customFormat="1" ht="78.75">
      <c r="A223" s="127">
        <v>160</v>
      </c>
      <c r="B223" s="175" t="s">
        <v>190</v>
      </c>
      <c r="C223" s="174" t="s">
        <v>520</v>
      </c>
      <c r="D223" s="174">
        <v>5.75</v>
      </c>
      <c r="E223" s="174">
        <v>2.75</v>
      </c>
      <c r="F223" s="174">
        <v>2.1</v>
      </c>
      <c r="G223" s="298">
        <f t="shared" si="3"/>
        <v>15.8125</v>
      </c>
      <c r="H223" s="124">
        <f>7.5*4</f>
        <v>30</v>
      </c>
      <c r="I223" s="124"/>
    </row>
    <row r="224" spans="1:9" s="71" customFormat="1" ht="78.75">
      <c r="A224" s="170">
        <v>161</v>
      </c>
      <c r="B224" s="171" t="s">
        <v>191</v>
      </c>
      <c r="C224" s="83" t="s">
        <v>549</v>
      </c>
      <c r="D224" s="83">
        <v>6.3</v>
      </c>
      <c r="E224" s="83">
        <v>3</v>
      </c>
      <c r="F224" s="83">
        <v>2.55</v>
      </c>
      <c r="G224" s="83">
        <f t="shared" si="3"/>
        <v>18.9</v>
      </c>
      <c r="H224" s="84">
        <f>8.5*4.5</f>
        <v>38.25</v>
      </c>
      <c r="I224" s="84"/>
    </row>
    <row r="225" spans="1:9" s="126" customFormat="1" ht="94.5">
      <c r="A225" s="122">
        <v>162</v>
      </c>
      <c r="B225" s="123" t="s">
        <v>192</v>
      </c>
      <c r="C225" s="174" t="s">
        <v>550</v>
      </c>
      <c r="D225" s="174">
        <v>6.55</v>
      </c>
      <c r="E225" s="174">
        <v>3</v>
      </c>
      <c r="F225" s="174">
        <v>2.58</v>
      </c>
      <c r="G225" s="298">
        <f t="shared" si="3"/>
        <v>19.65</v>
      </c>
      <c r="H225" s="124">
        <f>8.5*4.5</f>
        <v>38.25</v>
      </c>
      <c r="I225" s="124"/>
    </row>
    <row r="226" spans="1:9" s="270" customFormat="1" ht="15.75">
      <c r="A226" s="391" t="s">
        <v>193</v>
      </c>
      <c r="B226" s="392"/>
      <c r="C226" s="393"/>
      <c r="D226" s="297"/>
      <c r="E226" s="297"/>
      <c r="F226" s="297"/>
      <c r="G226" s="300">
        <f>SUM(G227,G229,G230:G231)</f>
        <v>73.44</v>
      </c>
      <c r="H226" s="211">
        <f>SUM(H227,H229,H230:H231)</f>
        <v>151.7</v>
      </c>
      <c r="I226" s="212">
        <f>SUM(I227,I229,I230:I231)</f>
        <v>0</v>
      </c>
    </row>
    <row r="227" spans="1:9" s="71" customFormat="1" ht="78.75">
      <c r="A227" s="176">
        <v>163</v>
      </c>
      <c r="B227" s="178" t="s">
        <v>194</v>
      </c>
      <c r="C227" s="83" t="s">
        <v>522</v>
      </c>
      <c r="D227" s="83">
        <v>6.1</v>
      </c>
      <c r="E227" s="83">
        <v>2.5</v>
      </c>
      <c r="F227" s="83">
        <v>2.4</v>
      </c>
      <c r="G227" s="288">
        <f t="shared" si="3"/>
        <v>15.25</v>
      </c>
      <c r="H227" s="84">
        <f>8*4</f>
        <v>32</v>
      </c>
      <c r="I227" s="84"/>
    </row>
    <row r="228" spans="1:9" s="71" customFormat="1" ht="15.75">
      <c r="A228" s="396">
        <v>164</v>
      </c>
      <c r="B228" s="398" t="s">
        <v>195</v>
      </c>
      <c r="C228" s="83" t="s">
        <v>341</v>
      </c>
      <c r="D228" s="83">
        <v>4.52</v>
      </c>
      <c r="E228" s="83">
        <v>2.5</v>
      </c>
      <c r="F228" s="83"/>
      <c r="G228" s="83">
        <f t="shared" si="3"/>
        <v>11.299999999999999</v>
      </c>
      <c r="H228" s="84"/>
      <c r="I228" s="84"/>
    </row>
    <row r="229" spans="1:9" s="71" customFormat="1" ht="110.25">
      <c r="A229" s="397"/>
      <c r="B229" s="399"/>
      <c r="C229" s="83" t="s">
        <v>523</v>
      </c>
      <c r="D229" s="83">
        <v>13.5</v>
      </c>
      <c r="E229" s="83">
        <v>3.5</v>
      </c>
      <c r="F229" s="83">
        <v>2.7</v>
      </c>
      <c r="G229" s="288">
        <f>D229*E229-G228</f>
        <v>35.95</v>
      </c>
      <c r="H229" s="84">
        <f>15.5*5-G228</f>
        <v>66.2</v>
      </c>
      <c r="I229" s="84"/>
    </row>
    <row r="230" spans="1:9" s="71" customFormat="1" ht="94.5">
      <c r="A230" s="170">
        <v>165</v>
      </c>
      <c r="B230" s="171" t="s">
        <v>196</v>
      </c>
      <c r="C230" s="83" t="s">
        <v>525</v>
      </c>
      <c r="D230" s="83">
        <v>6.4</v>
      </c>
      <c r="E230" s="83">
        <v>1.6</v>
      </c>
      <c r="F230" s="83">
        <v>2.5</v>
      </c>
      <c r="G230" s="83">
        <f t="shared" si="3"/>
        <v>10.240000000000002</v>
      </c>
      <c r="H230" s="84">
        <f>8.5*3</f>
        <v>25.5</v>
      </c>
      <c r="I230" s="84"/>
    </row>
    <row r="231" spans="1:9" s="71" customFormat="1" ht="31.5">
      <c r="A231" s="176">
        <v>166</v>
      </c>
      <c r="B231" s="178" t="s">
        <v>197</v>
      </c>
      <c r="C231" s="83" t="s">
        <v>430</v>
      </c>
      <c r="D231" s="83">
        <v>6</v>
      </c>
      <c r="E231" s="83">
        <v>2</v>
      </c>
      <c r="F231" s="83"/>
      <c r="G231" s="83">
        <f t="shared" si="3"/>
        <v>12</v>
      </c>
      <c r="H231" s="84">
        <f>8*3.5</f>
        <v>28</v>
      </c>
      <c r="I231" s="84"/>
    </row>
    <row r="232" spans="1:9" s="270" customFormat="1" ht="15.75">
      <c r="A232" s="391" t="s">
        <v>198</v>
      </c>
      <c r="B232" s="392"/>
      <c r="C232" s="393"/>
      <c r="D232" s="297"/>
      <c r="E232" s="297"/>
      <c r="F232" s="297"/>
      <c r="G232" s="300">
        <f>SUM(G233:G234)</f>
        <v>69.96000000000001</v>
      </c>
      <c r="H232" s="211">
        <f>SUM(H233:H234)</f>
        <v>124.74000000000001</v>
      </c>
      <c r="I232" s="212">
        <f>SUM(I233:I234)</f>
        <v>125.3</v>
      </c>
    </row>
    <row r="233" spans="1:9" s="269" customFormat="1" ht="63">
      <c r="A233" s="267">
        <v>167</v>
      </c>
      <c r="B233" s="268" t="s">
        <v>199</v>
      </c>
      <c r="C233" s="202" t="s">
        <v>1117</v>
      </c>
      <c r="D233" s="202">
        <v>10</v>
      </c>
      <c r="E233" s="202">
        <v>3</v>
      </c>
      <c r="F233" s="202"/>
      <c r="G233" s="202">
        <f t="shared" si="3"/>
        <v>30</v>
      </c>
      <c r="H233" s="203">
        <f>12*4.5+4.1*1.4</f>
        <v>59.74</v>
      </c>
      <c r="I233" s="203">
        <v>69</v>
      </c>
    </row>
    <row r="234" spans="1:9" s="71" customFormat="1" ht="78.75">
      <c r="A234" s="170">
        <v>168</v>
      </c>
      <c r="B234" s="171" t="s">
        <v>200</v>
      </c>
      <c r="C234" s="83" t="s">
        <v>552</v>
      </c>
      <c r="D234" s="83">
        <v>11.1</v>
      </c>
      <c r="E234" s="83">
        <v>3.6</v>
      </c>
      <c r="F234" s="83">
        <v>2.55</v>
      </c>
      <c r="G234" s="288">
        <f aca="true" t="shared" si="4" ref="G234:G282">D234*E234</f>
        <v>39.96</v>
      </c>
      <c r="H234" s="84">
        <f>13*5</f>
        <v>65</v>
      </c>
      <c r="I234" s="84">
        <v>56.3</v>
      </c>
    </row>
    <row r="235" spans="1:9" s="270" customFormat="1" ht="15.75">
      <c r="A235" s="391" t="s">
        <v>201</v>
      </c>
      <c r="B235" s="392"/>
      <c r="C235" s="393"/>
      <c r="D235" s="306"/>
      <c r="E235" s="306"/>
      <c r="F235" s="306"/>
      <c r="G235" s="300">
        <f>SUM(G236:G238)</f>
        <v>44.505</v>
      </c>
      <c r="H235" s="212">
        <f>SUM(H236:H238)</f>
        <v>81.5</v>
      </c>
      <c r="I235" s="212">
        <f>SUM(I236:I238)</f>
        <v>0</v>
      </c>
    </row>
    <row r="236" spans="1:9" s="71" customFormat="1" ht="78.75">
      <c r="A236" s="176">
        <v>169</v>
      </c>
      <c r="B236" s="178" t="s">
        <v>648</v>
      </c>
      <c r="C236" s="83" t="s">
        <v>649</v>
      </c>
      <c r="D236" s="83">
        <v>4.05</v>
      </c>
      <c r="E236" s="83">
        <v>2.1</v>
      </c>
      <c r="F236" s="83">
        <v>2.15</v>
      </c>
      <c r="G236" s="288">
        <f t="shared" si="4"/>
        <v>8.505</v>
      </c>
      <c r="H236" s="84">
        <f>6*3.5</f>
        <v>21</v>
      </c>
      <c r="I236" s="84"/>
    </row>
    <row r="237" spans="1:9" s="71" customFormat="1" ht="63">
      <c r="A237" s="176">
        <v>170</v>
      </c>
      <c r="B237" s="178" t="s">
        <v>203</v>
      </c>
      <c r="C237" s="83" t="s">
        <v>651</v>
      </c>
      <c r="D237" s="83">
        <v>9</v>
      </c>
      <c r="E237" s="83">
        <v>4</v>
      </c>
      <c r="F237" s="83">
        <v>2.75</v>
      </c>
      <c r="G237" s="83">
        <f t="shared" si="4"/>
        <v>36</v>
      </c>
      <c r="H237" s="84">
        <f>11*5.5</f>
        <v>60.5</v>
      </c>
      <c r="I237" s="84"/>
    </row>
    <row r="238" spans="1:9" s="71" customFormat="1" ht="15.75">
      <c r="A238" s="176">
        <v>171</v>
      </c>
      <c r="B238" s="178" t="s">
        <v>204</v>
      </c>
      <c r="C238" s="83" t="s">
        <v>389</v>
      </c>
      <c r="D238" s="83"/>
      <c r="E238" s="83"/>
      <c r="F238" s="83"/>
      <c r="G238" s="83">
        <f t="shared" si="4"/>
        <v>0</v>
      </c>
      <c r="H238" s="70"/>
      <c r="I238" s="70"/>
    </row>
    <row r="239" spans="1:9" s="270" customFormat="1" ht="15.75">
      <c r="A239" s="391" t="s">
        <v>321</v>
      </c>
      <c r="B239" s="392"/>
      <c r="C239" s="393"/>
      <c r="D239" s="306"/>
      <c r="E239" s="306"/>
      <c r="F239" s="306"/>
      <c r="G239" s="300">
        <f>SUM(G240:G241,G243,G245,G247:G249,G250:G252)</f>
        <v>1197.765</v>
      </c>
      <c r="H239" s="212">
        <f>SUM(H240:H241,H243,H245,H247:H249,H250:H252)</f>
        <v>1517.075</v>
      </c>
      <c r="I239" s="212">
        <f>SUM(I240:I241,I243,I245,I247:I249,I250:I252)</f>
        <v>163.3</v>
      </c>
    </row>
    <row r="240" spans="1:9" s="71" customFormat="1" ht="78.75">
      <c r="A240" s="176">
        <v>172</v>
      </c>
      <c r="B240" s="178" t="s">
        <v>207</v>
      </c>
      <c r="C240" s="83" t="s">
        <v>697</v>
      </c>
      <c r="D240" s="83">
        <v>12.1</v>
      </c>
      <c r="E240" s="83">
        <v>5.5</v>
      </c>
      <c r="F240" s="83">
        <v>2.2</v>
      </c>
      <c r="G240" s="288">
        <f t="shared" si="4"/>
        <v>66.55</v>
      </c>
      <c r="H240" s="84">
        <f>14*7</f>
        <v>98</v>
      </c>
      <c r="I240" s="84">
        <v>41</v>
      </c>
    </row>
    <row r="241" spans="1:9" s="71" customFormat="1" ht="47.25">
      <c r="A241" s="176">
        <v>173</v>
      </c>
      <c r="B241" s="178" t="s">
        <v>1133</v>
      </c>
      <c r="C241" s="83" t="s">
        <v>693</v>
      </c>
      <c r="D241" s="83">
        <v>18.2</v>
      </c>
      <c r="E241" s="83">
        <v>2.5</v>
      </c>
      <c r="F241" s="83"/>
      <c r="G241" s="83">
        <f t="shared" si="4"/>
        <v>45.5</v>
      </c>
      <c r="H241" s="84">
        <f>20*4</f>
        <v>80</v>
      </c>
      <c r="I241" s="84"/>
    </row>
    <row r="242" spans="1:9" s="71" customFormat="1" ht="15.75">
      <c r="A242" s="396">
        <v>174</v>
      </c>
      <c r="B242" s="398" t="s">
        <v>209</v>
      </c>
      <c r="C242" s="83" t="s">
        <v>688</v>
      </c>
      <c r="D242" s="83">
        <v>3.55</v>
      </c>
      <c r="E242" s="83">
        <v>2</v>
      </c>
      <c r="F242" s="83"/>
      <c r="G242" s="83">
        <f t="shared" si="4"/>
        <v>7.1</v>
      </c>
      <c r="H242" s="84"/>
      <c r="I242" s="84"/>
    </row>
    <row r="243" spans="1:9" s="71" customFormat="1" ht="126">
      <c r="A243" s="397"/>
      <c r="B243" s="399"/>
      <c r="C243" s="83" t="s">
        <v>1180</v>
      </c>
      <c r="D243" s="83">
        <v>74.5</v>
      </c>
      <c r="E243" s="83">
        <v>3.7</v>
      </c>
      <c r="F243" s="83">
        <v>2.6</v>
      </c>
      <c r="G243" s="83">
        <f>D243*E243-G242</f>
        <v>268.55</v>
      </c>
      <c r="H243" s="84">
        <f>76*4.5-G242</f>
        <v>334.9</v>
      </c>
      <c r="I243" s="84"/>
    </row>
    <row r="244" spans="1:9" s="71" customFormat="1" ht="15.75">
      <c r="A244" s="396">
        <v>175</v>
      </c>
      <c r="B244" s="398" t="s">
        <v>687</v>
      </c>
      <c r="C244" s="83" t="s">
        <v>688</v>
      </c>
      <c r="D244" s="83">
        <v>5.2</v>
      </c>
      <c r="E244" s="83">
        <v>3.35</v>
      </c>
      <c r="F244" s="83"/>
      <c r="G244" s="83">
        <f t="shared" si="4"/>
        <v>17.42</v>
      </c>
      <c r="H244" s="84"/>
      <c r="I244" s="84"/>
    </row>
    <row r="245" spans="1:9" s="71" customFormat="1" ht="110.25">
      <c r="A245" s="397"/>
      <c r="B245" s="399"/>
      <c r="C245" s="317" t="s">
        <v>1182</v>
      </c>
      <c r="D245" s="83">
        <v>57.4</v>
      </c>
      <c r="E245" s="83">
        <v>4.6</v>
      </c>
      <c r="F245" s="83">
        <v>3.6</v>
      </c>
      <c r="G245" s="83">
        <f>D245*E245-G244</f>
        <v>246.61999999999995</v>
      </c>
      <c r="H245" s="84">
        <f>59*5.5-G244</f>
        <v>307.08</v>
      </c>
      <c r="I245" s="84"/>
    </row>
    <row r="246" spans="1:9" s="71" customFormat="1" ht="15.75">
      <c r="A246" s="396">
        <v>176</v>
      </c>
      <c r="B246" s="398" t="s">
        <v>210</v>
      </c>
      <c r="C246" s="83" t="s">
        <v>1177</v>
      </c>
      <c r="D246" s="83">
        <v>7.5</v>
      </c>
      <c r="E246" s="83">
        <v>3.35</v>
      </c>
      <c r="F246" s="83"/>
      <c r="G246" s="288">
        <f t="shared" si="4"/>
        <v>25.125</v>
      </c>
      <c r="H246" s="84"/>
      <c r="I246" s="84"/>
    </row>
    <row r="247" spans="1:9" s="71" customFormat="1" ht="63">
      <c r="A247" s="397"/>
      <c r="B247" s="399"/>
      <c r="C247" s="83" t="s">
        <v>1181</v>
      </c>
      <c r="D247" s="83">
        <v>93</v>
      </c>
      <c r="E247" s="83">
        <v>4.6</v>
      </c>
      <c r="F247" s="83">
        <v>3.6</v>
      </c>
      <c r="G247" s="288">
        <f>D247*E247-G246</f>
        <v>402.67499999999995</v>
      </c>
      <c r="H247" s="84">
        <f>D247*E247-G246</f>
        <v>402.67499999999995</v>
      </c>
      <c r="I247" s="84"/>
    </row>
    <row r="248" spans="1:9" s="270" customFormat="1" ht="78.75">
      <c r="A248" s="233">
        <v>177</v>
      </c>
      <c r="B248" s="201" t="s">
        <v>683</v>
      </c>
      <c r="C248" s="210" t="s">
        <v>1134</v>
      </c>
      <c r="D248" s="210">
        <v>21</v>
      </c>
      <c r="E248" s="210">
        <v>3.65</v>
      </c>
      <c r="F248" s="210"/>
      <c r="G248" s="304">
        <f t="shared" si="4"/>
        <v>76.64999999999999</v>
      </c>
      <c r="H248" s="211">
        <f>23*5+1*2</f>
        <v>117</v>
      </c>
      <c r="I248" s="211"/>
    </row>
    <row r="249" spans="1:9" s="71" customFormat="1" ht="78.75">
      <c r="A249" s="176">
        <v>178</v>
      </c>
      <c r="B249" s="178" t="s">
        <v>680</v>
      </c>
      <c r="C249" s="83" t="s">
        <v>681</v>
      </c>
      <c r="D249" s="83">
        <v>5.5</v>
      </c>
      <c r="E249" s="83">
        <v>3.4</v>
      </c>
      <c r="F249" s="83">
        <v>2.3</v>
      </c>
      <c r="G249" s="83">
        <f t="shared" si="4"/>
        <v>18.7</v>
      </c>
      <c r="H249" s="84">
        <f>7*5</f>
        <v>35</v>
      </c>
      <c r="I249" s="84"/>
    </row>
    <row r="250" spans="1:9" s="270" customFormat="1" ht="47.25">
      <c r="A250" s="233">
        <v>179</v>
      </c>
      <c r="B250" s="201" t="s">
        <v>825</v>
      </c>
      <c r="C250" s="210" t="s">
        <v>1118</v>
      </c>
      <c r="D250" s="210">
        <v>10</v>
      </c>
      <c r="E250" s="210">
        <v>3</v>
      </c>
      <c r="F250" s="210"/>
      <c r="G250" s="210">
        <f t="shared" si="4"/>
        <v>30</v>
      </c>
      <c r="H250" s="211">
        <f>12*4.5+2*1</f>
        <v>56</v>
      </c>
      <c r="I250" s="211">
        <v>28.8</v>
      </c>
    </row>
    <row r="251" spans="1:9" s="270" customFormat="1" ht="63">
      <c r="A251" s="233">
        <v>180</v>
      </c>
      <c r="B251" s="201" t="s">
        <v>213</v>
      </c>
      <c r="C251" s="210" t="s">
        <v>1119</v>
      </c>
      <c r="D251" s="210">
        <v>9</v>
      </c>
      <c r="E251" s="210">
        <v>2.7</v>
      </c>
      <c r="F251" s="210"/>
      <c r="G251" s="210">
        <f>2.7*9+2.1*1.2</f>
        <v>26.82</v>
      </c>
      <c r="H251" s="211">
        <f>3.7*10+2.6*2.2</f>
        <v>42.72</v>
      </c>
      <c r="I251" s="211">
        <v>43.5</v>
      </c>
    </row>
    <row r="252" spans="1:9" s="270" customFormat="1" ht="63">
      <c r="A252" s="233">
        <v>181</v>
      </c>
      <c r="B252" s="201" t="s">
        <v>214</v>
      </c>
      <c r="C252" s="210" t="s">
        <v>1119</v>
      </c>
      <c r="D252" s="210">
        <v>10</v>
      </c>
      <c r="E252" s="210">
        <v>2.7</v>
      </c>
      <c r="F252" s="210"/>
      <c r="G252" s="210">
        <f>10+2.7+3</f>
        <v>15.7</v>
      </c>
      <c r="H252" s="211">
        <f>11*3.7+3</f>
        <v>43.7</v>
      </c>
      <c r="I252" s="211">
        <f>25*2</f>
        <v>50</v>
      </c>
    </row>
    <row r="253" spans="1:9" s="270" customFormat="1" ht="15.75">
      <c r="A253" s="391" t="s">
        <v>215</v>
      </c>
      <c r="B253" s="392"/>
      <c r="C253" s="393"/>
      <c r="D253" s="306"/>
      <c r="E253" s="306"/>
      <c r="F253" s="306"/>
      <c r="G253" s="300">
        <f>SUM(G254:G257)</f>
        <v>14.432499999999997</v>
      </c>
      <c r="H253" s="211">
        <f>SUM(H254:H257)</f>
        <v>49.584</v>
      </c>
      <c r="I253" s="212">
        <f>SUM(I254:I257)</f>
        <v>0</v>
      </c>
    </row>
    <row r="254" spans="1:9" s="126" customFormat="1" ht="15.75">
      <c r="A254" s="127">
        <v>182</v>
      </c>
      <c r="B254" s="175" t="s">
        <v>216</v>
      </c>
      <c r="C254" s="174" t="s">
        <v>378</v>
      </c>
      <c r="D254" s="174">
        <v>6.3</v>
      </c>
      <c r="E254" s="174">
        <v>1.15</v>
      </c>
      <c r="F254" s="174"/>
      <c r="G254" s="298">
        <f t="shared" si="4"/>
        <v>7.244999999999999</v>
      </c>
      <c r="H254" s="124">
        <f>8*3</f>
        <v>24</v>
      </c>
      <c r="I254" s="124"/>
    </row>
    <row r="255" spans="1:9" s="71" customFormat="1" ht="63">
      <c r="A255" s="170">
        <v>183</v>
      </c>
      <c r="B255" s="171" t="s">
        <v>553</v>
      </c>
      <c r="C255" s="83" t="s">
        <v>527</v>
      </c>
      <c r="D255" s="83">
        <v>6.25</v>
      </c>
      <c r="E255" s="83">
        <v>1.15</v>
      </c>
      <c r="F255" s="83">
        <v>2.58</v>
      </c>
      <c r="G255" s="288">
        <f t="shared" si="4"/>
        <v>7.187499999999999</v>
      </c>
      <c r="H255" s="84">
        <f>8*3+3.52*0.45</f>
        <v>25.584</v>
      </c>
      <c r="I255" s="84"/>
    </row>
    <row r="256" spans="1:9" s="71" customFormat="1" ht="31.5">
      <c r="A256" s="176">
        <v>184</v>
      </c>
      <c r="B256" s="178" t="s">
        <v>217</v>
      </c>
      <c r="C256" s="83" t="s">
        <v>377</v>
      </c>
      <c r="D256" s="83"/>
      <c r="E256" s="83"/>
      <c r="F256" s="83"/>
      <c r="G256" s="83">
        <f t="shared" si="4"/>
        <v>0</v>
      </c>
      <c r="H256" s="70"/>
      <c r="I256" s="70"/>
    </row>
    <row r="257" spans="1:9" s="71" customFormat="1" ht="31.5">
      <c r="A257" s="176">
        <v>185</v>
      </c>
      <c r="B257" s="178" t="s">
        <v>218</v>
      </c>
      <c r="C257" s="83" t="s">
        <v>389</v>
      </c>
      <c r="D257" s="83"/>
      <c r="E257" s="83"/>
      <c r="F257" s="83"/>
      <c r="G257" s="83">
        <f t="shared" si="4"/>
        <v>0</v>
      </c>
      <c r="H257" s="70"/>
      <c r="I257" s="70"/>
    </row>
    <row r="258" spans="1:9" s="270" customFormat="1" ht="15.75">
      <c r="A258" s="391" t="s">
        <v>323</v>
      </c>
      <c r="B258" s="392"/>
      <c r="C258" s="393"/>
      <c r="D258" s="321"/>
      <c r="E258" s="321"/>
      <c r="F258" s="321"/>
      <c r="G258" s="300">
        <f>SUM(G259:G272)</f>
        <v>107.67459999999998</v>
      </c>
      <c r="H258" s="211">
        <f>SUM(H259:H272)</f>
        <v>259.74</v>
      </c>
      <c r="I258" s="212">
        <f>SUM(I259:I272)</f>
        <v>0</v>
      </c>
    </row>
    <row r="259" spans="1:9" s="71" customFormat="1" ht="63">
      <c r="A259" s="243">
        <v>186</v>
      </c>
      <c r="B259" s="244" t="s">
        <v>398</v>
      </c>
      <c r="C259" s="83" t="s">
        <v>528</v>
      </c>
      <c r="D259" s="83">
        <v>5.41</v>
      </c>
      <c r="E259" s="83">
        <v>2.85</v>
      </c>
      <c r="F259" s="83">
        <v>2.6</v>
      </c>
      <c r="G259" s="288">
        <f t="shared" si="4"/>
        <v>15.418500000000002</v>
      </c>
      <c r="H259" s="84">
        <f>7.5*4</f>
        <v>30</v>
      </c>
      <c r="I259" s="84"/>
    </row>
    <row r="260" spans="1:9" s="126" customFormat="1" ht="31.5">
      <c r="A260" s="127">
        <v>187</v>
      </c>
      <c r="B260" s="242" t="s">
        <v>397</v>
      </c>
      <c r="C260" s="240" t="s">
        <v>389</v>
      </c>
      <c r="D260" s="240"/>
      <c r="E260" s="240"/>
      <c r="F260" s="240"/>
      <c r="G260" s="240">
        <f t="shared" si="4"/>
        <v>0</v>
      </c>
      <c r="H260" s="125"/>
      <c r="I260" s="125"/>
    </row>
    <row r="261" spans="1:9" s="71" customFormat="1" ht="63">
      <c r="A261" s="243">
        <v>188</v>
      </c>
      <c r="B261" s="244" t="s">
        <v>395</v>
      </c>
      <c r="C261" s="83" t="s">
        <v>555</v>
      </c>
      <c r="D261" s="83">
        <v>4.83</v>
      </c>
      <c r="E261" s="83">
        <v>2.8</v>
      </c>
      <c r="F261" s="83">
        <v>2.6</v>
      </c>
      <c r="G261" s="288">
        <f t="shared" si="4"/>
        <v>13.524</v>
      </c>
      <c r="H261" s="84">
        <f>6.5*4+9.8*2.5+1.4*2.05*2</f>
        <v>56.24</v>
      </c>
      <c r="I261" s="84"/>
    </row>
    <row r="262" spans="1:9" s="126" customFormat="1" ht="31.5">
      <c r="A262" s="127">
        <v>189</v>
      </c>
      <c r="B262" s="242" t="s">
        <v>394</v>
      </c>
      <c r="C262" s="240" t="s">
        <v>389</v>
      </c>
      <c r="D262" s="240"/>
      <c r="E262" s="240"/>
      <c r="F262" s="240"/>
      <c r="G262" s="240">
        <f t="shared" si="4"/>
        <v>0</v>
      </c>
      <c r="H262" s="125"/>
      <c r="I262" s="125"/>
    </row>
    <row r="263" spans="1:9" s="126" customFormat="1" ht="31.5">
      <c r="A263" s="127">
        <v>190</v>
      </c>
      <c r="B263" s="242" t="s">
        <v>224</v>
      </c>
      <c r="C263" s="240" t="s">
        <v>389</v>
      </c>
      <c r="D263" s="240"/>
      <c r="E263" s="240"/>
      <c r="F263" s="240"/>
      <c r="G263" s="240">
        <f t="shared" si="4"/>
        <v>0</v>
      </c>
      <c r="H263" s="125"/>
      <c r="I263" s="125"/>
    </row>
    <row r="264" spans="1:9" s="126" customFormat="1" ht="32.25" thickBot="1">
      <c r="A264" s="127">
        <v>191</v>
      </c>
      <c r="B264" s="242" t="s">
        <v>225</v>
      </c>
      <c r="C264" s="135" t="s">
        <v>393</v>
      </c>
      <c r="D264" s="135">
        <v>6</v>
      </c>
      <c r="E264" s="135">
        <v>1.45</v>
      </c>
      <c r="F264" s="135"/>
      <c r="G264" s="135">
        <f t="shared" si="4"/>
        <v>8.7</v>
      </c>
      <c r="H264" s="136">
        <f>8*3</f>
        <v>24</v>
      </c>
      <c r="I264" s="136"/>
    </row>
    <row r="265" spans="1:9" s="126" customFormat="1" ht="47.25">
      <c r="A265" s="127">
        <v>192</v>
      </c>
      <c r="B265" s="242" t="s">
        <v>391</v>
      </c>
      <c r="C265" s="240" t="s">
        <v>556</v>
      </c>
      <c r="D265" s="240">
        <v>6.3</v>
      </c>
      <c r="E265" s="240">
        <v>3.4</v>
      </c>
      <c r="F265" s="240">
        <v>2.75</v>
      </c>
      <c r="G265" s="240">
        <f t="shared" si="4"/>
        <v>21.419999999999998</v>
      </c>
      <c r="H265" s="124">
        <f>8.5*5</f>
        <v>42.5</v>
      </c>
      <c r="I265" s="124"/>
    </row>
    <row r="266" spans="1:9" s="126" customFormat="1" ht="31.5">
      <c r="A266" s="127">
        <v>193</v>
      </c>
      <c r="B266" s="242" t="s">
        <v>390</v>
      </c>
      <c r="C266" s="240" t="s">
        <v>389</v>
      </c>
      <c r="D266" s="240"/>
      <c r="E266" s="240"/>
      <c r="F266" s="240"/>
      <c r="G266" s="240">
        <f t="shared" si="4"/>
        <v>0</v>
      </c>
      <c r="H266" s="125"/>
      <c r="I266" s="125"/>
    </row>
    <row r="267" spans="1:9" s="71" customFormat="1" ht="78.75">
      <c r="A267" s="243">
        <v>194</v>
      </c>
      <c r="B267" s="244" t="s">
        <v>385</v>
      </c>
      <c r="C267" s="83" t="s">
        <v>529</v>
      </c>
      <c r="D267" s="83">
        <v>5.85</v>
      </c>
      <c r="E267" s="83">
        <v>2.25</v>
      </c>
      <c r="F267" s="83">
        <v>2.5</v>
      </c>
      <c r="G267" s="288">
        <f t="shared" si="4"/>
        <v>13.1625</v>
      </c>
      <c r="H267" s="84">
        <f>7.5*3</f>
        <v>22.5</v>
      </c>
      <c r="I267" s="84"/>
    </row>
    <row r="268" spans="1:9" s="126" customFormat="1" ht="32.25" thickBot="1">
      <c r="A268" s="141">
        <v>195</v>
      </c>
      <c r="B268" s="142" t="s">
        <v>386</v>
      </c>
      <c r="C268" s="135" t="s">
        <v>387</v>
      </c>
      <c r="D268" s="135">
        <v>10.2</v>
      </c>
      <c r="E268" s="135">
        <v>1.45</v>
      </c>
      <c r="F268" s="135"/>
      <c r="G268" s="442">
        <f t="shared" si="4"/>
        <v>14.79</v>
      </c>
      <c r="H268" s="136">
        <f>12*3</f>
        <v>36</v>
      </c>
      <c r="I268" s="136"/>
    </row>
    <row r="269" spans="1:9" s="71" customFormat="1" ht="63">
      <c r="A269" s="243">
        <v>196</v>
      </c>
      <c r="B269" s="244" t="s">
        <v>808</v>
      </c>
      <c r="C269" s="83" t="s">
        <v>565</v>
      </c>
      <c r="D269" s="83">
        <v>3.08</v>
      </c>
      <c r="E269" s="83">
        <v>3.16</v>
      </c>
      <c r="F269" s="83">
        <v>2.75</v>
      </c>
      <c r="G269" s="288">
        <f t="shared" si="4"/>
        <v>9.732800000000001</v>
      </c>
      <c r="H269" s="84">
        <f>5*4.5</f>
        <v>22.5</v>
      </c>
      <c r="I269" s="84"/>
    </row>
    <row r="270" spans="1:9" s="71" customFormat="1" ht="15.75">
      <c r="A270" s="243">
        <v>197</v>
      </c>
      <c r="B270" s="244" t="s">
        <v>809</v>
      </c>
      <c r="C270" s="83" t="s">
        <v>389</v>
      </c>
      <c r="D270" s="83"/>
      <c r="E270" s="83"/>
      <c r="F270" s="83"/>
      <c r="G270" s="83">
        <f t="shared" si="4"/>
        <v>0</v>
      </c>
      <c r="H270" s="70"/>
      <c r="I270" s="70"/>
    </row>
    <row r="271" spans="1:9" s="71" customFormat="1" ht="78.75">
      <c r="A271" s="243">
        <v>198</v>
      </c>
      <c r="B271" s="244" t="s">
        <v>320</v>
      </c>
      <c r="C271" s="83" t="s">
        <v>566</v>
      </c>
      <c r="D271" s="83">
        <v>4.63</v>
      </c>
      <c r="E271" s="83">
        <v>2.36</v>
      </c>
      <c r="F271" s="83">
        <v>2.73</v>
      </c>
      <c r="G271" s="288">
        <f t="shared" si="4"/>
        <v>10.926799999999998</v>
      </c>
      <c r="H271" s="84">
        <f>6.5*4</f>
        <v>26</v>
      </c>
      <c r="I271" s="84"/>
    </row>
    <row r="272" spans="1:9" s="71" customFormat="1" ht="31.5">
      <c r="A272" s="243">
        <v>199</v>
      </c>
      <c r="B272" s="244" t="s">
        <v>807</v>
      </c>
      <c r="C272" s="83" t="s">
        <v>389</v>
      </c>
      <c r="D272" s="83"/>
      <c r="E272" s="83"/>
      <c r="F272" s="83"/>
      <c r="G272" s="83">
        <f t="shared" si="4"/>
        <v>0</v>
      </c>
      <c r="H272" s="70"/>
      <c r="I272" s="70"/>
    </row>
    <row r="273" spans="1:9" s="71" customFormat="1" ht="15.75">
      <c r="A273" s="443" t="s">
        <v>331</v>
      </c>
      <c r="B273" s="444"/>
      <c r="C273" s="445"/>
      <c r="D273" s="138"/>
      <c r="E273" s="138"/>
      <c r="F273" s="138"/>
      <c r="G273" s="138">
        <f t="shared" si="4"/>
        <v>0</v>
      </c>
      <c r="H273" s="70"/>
      <c r="I273" s="70"/>
    </row>
    <row r="274" spans="1:9" s="71" customFormat="1" ht="15.75">
      <c r="A274" s="243">
        <v>200</v>
      </c>
      <c r="B274" s="244" t="s">
        <v>113</v>
      </c>
      <c r="C274" s="83" t="s">
        <v>389</v>
      </c>
      <c r="D274" s="83"/>
      <c r="E274" s="83"/>
      <c r="F274" s="83"/>
      <c r="G274" s="83">
        <f t="shared" si="4"/>
        <v>0</v>
      </c>
      <c r="H274" s="70"/>
      <c r="I274" s="70"/>
    </row>
    <row r="275" spans="1:9" s="126" customFormat="1" ht="63">
      <c r="A275" s="127">
        <v>201</v>
      </c>
      <c r="B275" s="242" t="s">
        <v>114</v>
      </c>
      <c r="C275" s="240" t="s">
        <v>484</v>
      </c>
      <c r="D275" s="240">
        <v>3</v>
      </c>
      <c r="E275" s="240">
        <v>2</v>
      </c>
      <c r="F275" s="240">
        <v>2.4</v>
      </c>
      <c r="G275" s="240">
        <f t="shared" si="4"/>
        <v>6</v>
      </c>
      <c r="H275" s="124"/>
      <c r="I275" s="124"/>
    </row>
    <row r="276" spans="1:9" s="126" customFormat="1" ht="94.5">
      <c r="A276" s="127">
        <v>202</v>
      </c>
      <c r="B276" s="242" t="s">
        <v>115</v>
      </c>
      <c r="C276" s="240" t="s">
        <v>475</v>
      </c>
      <c r="D276" s="240">
        <v>12.5</v>
      </c>
      <c r="E276" s="240">
        <v>3.15</v>
      </c>
      <c r="F276" s="240">
        <v>2.4</v>
      </c>
      <c r="G276" s="298">
        <f t="shared" si="4"/>
        <v>39.375</v>
      </c>
      <c r="H276" s="124"/>
      <c r="I276" s="124"/>
    </row>
    <row r="277" spans="1:9" s="126" customFormat="1" ht="78.75">
      <c r="A277" s="127">
        <v>203</v>
      </c>
      <c r="B277" s="242" t="s">
        <v>116</v>
      </c>
      <c r="C277" s="240" t="s">
        <v>559</v>
      </c>
      <c r="D277" s="240">
        <v>5.5</v>
      </c>
      <c r="E277" s="240">
        <v>7.8</v>
      </c>
      <c r="F277" s="240">
        <v>3.25</v>
      </c>
      <c r="G277" s="240">
        <f t="shared" si="4"/>
        <v>42.9</v>
      </c>
      <c r="H277" s="124"/>
      <c r="I277" s="124"/>
    </row>
    <row r="278" spans="1:9" s="71" customFormat="1" ht="15.75">
      <c r="A278" s="243">
        <v>204</v>
      </c>
      <c r="B278" s="244" t="s">
        <v>117</v>
      </c>
      <c r="C278" s="83" t="s">
        <v>389</v>
      </c>
      <c r="D278" s="83"/>
      <c r="E278" s="83"/>
      <c r="F278" s="83"/>
      <c r="G278" s="83">
        <f t="shared" si="4"/>
        <v>0</v>
      </c>
      <c r="H278" s="70"/>
      <c r="I278" s="70"/>
    </row>
    <row r="279" spans="1:9" s="71" customFormat="1" ht="94.5">
      <c r="A279" s="243">
        <v>205</v>
      </c>
      <c r="B279" s="244" t="s">
        <v>118</v>
      </c>
      <c r="C279" s="83" t="s">
        <v>481</v>
      </c>
      <c r="D279" s="83">
        <v>6</v>
      </c>
      <c r="E279" s="83">
        <v>2.3</v>
      </c>
      <c r="F279" s="83">
        <v>2.45</v>
      </c>
      <c r="G279" s="83">
        <f t="shared" si="4"/>
        <v>13.799999999999999</v>
      </c>
      <c r="H279" s="84"/>
      <c r="I279" s="84"/>
    </row>
    <row r="280" spans="1:9" s="71" customFormat="1" ht="15.75">
      <c r="A280" s="243">
        <v>206</v>
      </c>
      <c r="B280" s="244" t="s">
        <v>119</v>
      </c>
      <c r="C280" s="83" t="s">
        <v>389</v>
      </c>
      <c r="D280" s="83"/>
      <c r="E280" s="83"/>
      <c r="F280" s="83"/>
      <c r="G280" s="83">
        <f t="shared" si="4"/>
        <v>0</v>
      </c>
      <c r="H280" s="70"/>
      <c r="I280" s="70"/>
    </row>
    <row r="281" spans="1:9" s="126" customFormat="1" ht="94.5">
      <c r="A281" s="127">
        <v>207</v>
      </c>
      <c r="B281" s="242" t="s">
        <v>120</v>
      </c>
      <c r="C281" s="240" t="s">
        <v>479</v>
      </c>
      <c r="D281" s="240">
        <v>4.9</v>
      </c>
      <c r="E281" s="240">
        <v>2.9</v>
      </c>
      <c r="F281" s="240">
        <v>2.5</v>
      </c>
      <c r="G281" s="240">
        <f t="shared" si="4"/>
        <v>14.21</v>
      </c>
      <c r="H281" s="124"/>
      <c r="I281" s="124"/>
    </row>
    <row r="282" spans="1:9" s="126" customFormat="1" ht="94.5">
      <c r="A282" s="127">
        <v>208</v>
      </c>
      <c r="B282" s="242" t="s">
        <v>121</v>
      </c>
      <c r="C282" s="240" t="s">
        <v>477</v>
      </c>
      <c r="D282" s="240">
        <v>6</v>
      </c>
      <c r="E282" s="240">
        <v>3.2</v>
      </c>
      <c r="F282" s="240">
        <v>2.75</v>
      </c>
      <c r="G282" s="240">
        <f t="shared" si="4"/>
        <v>19.200000000000003</v>
      </c>
      <c r="H282" s="124"/>
      <c r="I282" s="124"/>
    </row>
    <row r="283" spans="1:9" s="71" customFormat="1" ht="47.25" customHeight="1">
      <c r="A283" s="446" t="s">
        <v>865</v>
      </c>
      <c r="B283" s="447"/>
      <c r="C283" s="447"/>
      <c r="D283" s="447"/>
      <c r="E283" s="447"/>
      <c r="F283" s="447"/>
      <c r="G283" s="447"/>
      <c r="H283" s="448"/>
      <c r="I283" s="448"/>
    </row>
    <row r="284" spans="1:9" s="270" customFormat="1" ht="15.75">
      <c r="A284" s="407" t="s">
        <v>567</v>
      </c>
      <c r="B284" s="408"/>
      <c r="C284" s="409"/>
      <c r="D284" s="308"/>
      <c r="E284" s="308"/>
      <c r="F284" s="308"/>
      <c r="G284" s="308">
        <f>SUM(G285)</f>
        <v>46.5</v>
      </c>
      <c r="H284" s="212">
        <f>SUM(H285)</f>
        <v>76.5</v>
      </c>
      <c r="I284" s="212">
        <f>SUM(I285)</f>
        <v>0</v>
      </c>
    </row>
    <row r="285" spans="1:9" s="71" customFormat="1" ht="94.5">
      <c r="A285" s="277">
        <v>209</v>
      </c>
      <c r="B285" s="320" t="s">
        <v>346</v>
      </c>
      <c r="C285" s="83" t="s">
        <v>827</v>
      </c>
      <c r="D285" s="83">
        <v>15</v>
      </c>
      <c r="E285" s="83">
        <v>3.1</v>
      </c>
      <c r="F285" s="83">
        <v>2.35</v>
      </c>
      <c r="G285" s="291">
        <f aca="true" t="shared" si="5" ref="G285:G346">D285*E285</f>
        <v>46.5</v>
      </c>
      <c r="H285" s="84">
        <f>17*4.5</f>
        <v>76.5</v>
      </c>
      <c r="I285" s="84"/>
    </row>
    <row r="286" spans="1:9" s="270" customFormat="1" ht="15.75">
      <c r="A286" s="407" t="s">
        <v>1176</v>
      </c>
      <c r="B286" s="408"/>
      <c r="C286" s="409"/>
      <c r="D286" s="308"/>
      <c r="E286" s="308"/>
      <c r="F286" s="308"/>
      <c r="G286" s="309">
        <f>SUM(G287:G289,G291,G293,G294:G295)</f>
        <v>290.5275</v>
      </c>
      <c r="H286" s="212">
        <f>SUM(H287:H289,H291,H293,H294:H295)</f>
        <v>458.74199999999996</v>
      </c>
      <c r="I286" s="212">
        <f>SUM(I287:I289,I291,I293,I294:I295)</f>
        <v>0</v>
      </c>
    </row>
    <row r="287" spans="1:9" s="71" customFormat="1" ht="94.5">
      <c r="A287" s="319">
        <v>210</v>
      </c>
      <c r="B287" s="320" t="s">
        <v>23</v>
      </c>
      <c r="C287" s="83" t="s">
        <v>569</v>
      </c>
      <c r="D287" s="83">
        <v>6.63</v>
      </c>
      <c r="E287" s="83">
        <v>2.35</v>
      </c>
      <c r="F287" s="83">
        <v>2.55</v>
      </c>
      <c r="G287" s="293">
        <f t="shared" si="5"/>
        <v>15.5805</v>
      </c>
      <c r="H287" s="84">
        <f>8.5*4</f>
        <v>34</v>
      </c>
      <c r="I287" s="84"/>
    </row>
    <row r="288" spans="1:9" s="71" customFormat="1" ht="94.5">
      <c r="A288" s="319">
        <v>211</v>
      </c>
      <c r="B288" s="320" t="s">
        <v>24</v>
      </c>
      <c r="C288" s="83" t="s">
        <v>570</v>
      </c>
      <c r="D288" s="83">
        <v>9</v>
      </c>
      <c r="E288" s="83">
        <v>3.6</v>
      </c>
      <c r="F288" s="83">
        <v>2.82</v>
      </c>
      <c r="G288" s="291">
        <f t="shared" si="5"/>
        <v>32.4</v>
      </c>
      <c r="H288" s="84">
        <f>11*5</f>
        <v>55</v>
      </c>
      <c r="I288" s="84"/>
    </row>
    <row r="289" spans="1:9" s="71" customFormat="1" ht="94.5">
      <c r="A289" s="319">
        <v>212</v>
      </c>
      <c r="B289" s="320" t="s">
        <v>349</v>
      </c>
      <c r="C289" s="83" t="s">
        <v>572</v>
      </c>
      <c r="D289" s="83">
        <v>6</v>
      </c>
      <c r="E289" s="83">
        <v>4.15</v>
      </c>
      <c r="F289" s="83">
        <v>2.35</v>
      </c>
      <c r="G289" s="291">
        <f t="shared" si="5"/>
        <v>24.900000000000002</v>
      </c>
      <c r="H289" s="84">
        <f>8*3</f>
        <v>24</v>
      </c>
      <c r="I289" s="84"/>
    </row>
    <row r="290" spans="1:9" s="71" customFormat="1" ht="15.75">
      <c r="A290" s="396">
        <v>213</v>
      </c>
      <c r="B290" s="398" t="s">
        <v>401</v>
      </c>
      <c r="C290" s="83" t="s">
        <v>341</v>
      </c>
      <c r="D290" s="83">
        <v>6.1</v>
      </c>
      <c r="E290" s="83">
        <v>3.88</v>
      </c>
      <c r="F290" s="83"/>
      <c r="G290" s="293">
        <f t="shared" si="5"/>
        <v>23.668</v>
      </c>
      <c r="H290" s="84"/>
      <c r="I290" s="84"/>
    </row>
    <row r="291" spans="1:9" s="71" customFormat="1" ht="110.25">
      <c r="A291" s="397"/>
      <c r="B291" s="399"/>
      <c r="C291" s="83" t="s">
        <v>574</v>
      </c>
      <c r="D291" s="83">
        <v>25.7</v>
      </c>
      <c r="E291" s="83">
        <v>4.45</v>
      </c>
      <c r="F291" s="83">
        <v>2.75</v>
      </c>
      <c r="G291" s="293">
        <f>D291*E291-G290</f>
        <v>90.697</v>
      </c>
      <c r="H291" s="84">
        <f>27.5*6-G290</f>
        <v>141.332</v>
      </c>
      <c r="I291" s="84"/>
    </row>
    <row r="292" spans="1:9" s="71" customFormat="1" ht="15.75">
      <c r="A292" s="396">
        <v>214</v>
      </c>
      <c r="B292" s="398" t="s">
        <v>25</v>
      </c>
      <c r="C292" s="83" t="s">
        <v>341</v>
      </c>
      <c r="D292" s="83">
        <v>6.4</v>
      </c>
      <c r="E292" s="83">
        <v>4.35</v>
      </c>
      <c r="F292" s="83"/>
      <c r="G292" s="291">
        <f t="shared" si="5"/>
        <v>27.84</v>
      </c>
      <c r="H292" s="84"/>
      <c r="I292" s="84"/>
    </row>
    <row r="293" spans="1:9" s="71" customFormat="1" ht="94.5">
      <c r="A293" s="397"/>
      <c r="B293" s="399"/>
      <c r="C293" s="83" t="s">
        <v>576</v>
      </c>
      <c r="D293" s="83">
        <v>18.7</v>
      </c>
      <c r="E293" s="83">
        <v>5.15</v>
      </c>
      <c r="F293" s="83">
        <v>2.74</v>
      </c>
      <c r="G293" s="293">
        <f>D293*E293-G292</f>
        <v>68.465</v>
      </c>
      <c r="H293" s="84">
        <f>20.5*6.5-G292</f>
        <v>105.41</v>
      </c>
      <c r="I293" s="84"/>
    </row>
    <row r="294" spans="1:9" s="71" customFormat="1" ht="78.75">
      <c r="A294" s="319">
        <v>215</v>
      </c>
      <c r="B294" s="320" t="s">
        <v>26</v>
      </c>
      <c r="C294" s="83" t="s">
        <v>578</v>
      </c>
      <c r="D294" s="83">
        <v>8.05</v>
      </c>
      <c r="E294" s="83">
        <v>5.2</v>
      </c>
      <c r="F294" s="83">
        <v>2.55</v>
      </c>
      <c r="G294" s="293">
        <f t="shared" si="5"/>
        <v>41.86000000000001</v>
      </c>
      <c r="H294" s="84">
        <f>10*6.5</f>
        <v>65</v>
      </c>
      <c r="I294" s="84"/>
    </row>
    <row r="295" spans="1:9" s="71" customFormat="1" ht="94.5">
      <c r="A295" s="319">
        <v>216</v>
      </c>
      <c r="B295" s="320" t="s">
        <v>27</v>
      </c>
      <c r="C295" s="83" t="s">
        <v>580</v>
      </c>
      <c r="D295" s="83">
        <v>6.65</v>
      </c>
      <c r="E295" s="83">
        <v>2.5</v>
      </c>
      <c r="F295" s="83">
        <v>2.55</v>
      </c>
      <c r="G295" s="293">
        <f t="shared" si="5"/>
        <v>16.625</v>
      </c>
      <c r="H295" s="84">
        <f>8.5*4</f>
        <v>34</v>
      </c>
      <c r="I295" s="84"/>
    </row>
    <row r="296" spans="1:9" s="71" customFormat="1" ht="94.5">
      <c r="A296" s="319">
        <v>217</v>
      </c>
      <c r="B296" s="320" t="s">
        <v>350</v>
      </c>
      <c r="C296" s="83" t="s">
        <v>581</v>
      </c>
      <c r="D296" s="83">
        <v>8.5</v>
      </c>
      <c r="E296" s="83">
        <v>3.1</v>
      </c>
      <c r="F296" s="83">
        <v>3.34</v>
      </c>
      <c r="G296" s="291">
        <f t="shared" si="5"/>
        <v>26.35</v>
      </c>
      <c r="H296" s="84"/>
      <c r="I296" s="84"/>
    </row>
    <row r="297" spans="1:9" s="71" customFormat="1" ht="31.5">
      <c r="A297" s="243">
        <v>218</v>
      </c>
      <c r="B297" s="244" t="s">
        <v>351</v>
      </c>
      <c r="C297" s="83" t="s">
        <v>376</v>
      </c>
      <c r="D297" s="83"/>
      <c r="E297" s="83"/>
      <c r="F297" s="83"/>
      <c r="G297" s="291">
        <f t="shared" si="5"/>
        <v>0</v>
      </c>
      <c r="H297" s="70"/>
      <c r="I297" s="70"/>
    </row>
    <row r="298" spans="1:9" s="71" customFormat="1" ht="47.25">
      <c r="A298" s="243">
        <v>219</v>
      </c>
      <c r="B298" s="244" t="s">
        <v>353</v>
      </c>
      <c r="C298" s="83" t="s">
        <v>354</v>
      </c>
      <c r="D298" s="83">
        <v>12</v>
      </c>
      <c r="E298" s="83">
        <v>1.8</v>
      </c>
      <c r="F298" s="83"/>
      <c r="G298" s="291">
        <f t="shared" si="5"/>
        <v>21.6</v>
      </c>
      <c r="H298" s="70"/>
      <c r="I298" s="70"/>
    </row>
    <row r="299" spans="1:9" s="126" customFormat="1" ht="47.25">
      <c r="A299" s="127">
        <v>220</v>
      </c>
      <c r="B299" s="242" t="s">
        <v>373</v>
      </c>
      <c r="C299" s="240" t="s">
        <v>374</v>
      </c>
      <c r="D299" s="240">
        <v>11.7</v>
      </c>
      <c r="E299" s="240">
        <v>1.2</v>
      </c>
      <c r="F299" s="240"/>
      <c r="G299" s="291">
        <f t="shared" si="5"/>
        <v>14.04</v>
      </c>
      <c r="H299" s="124"/>
      <c r="I299" s="124"/>
    </row>
    <row r="300" spans="1:9" s="126" customFormat="1" ht="63">
      <c r="A300" s="127">
        <v>221</v>
      </c>
      <c r="B300" s="242" t="s">
        <v>30</v>
      </c>
      <c r="C300" s="240" t="s">
        <v>583</v>
      </c>
      <c r="D300" s="240">
        <v>5.87</v>
      </c>
      <c r="E300" s="240">
        <v>2.62</v>
      </c>
      <c r="F300" s="240">
        <v>2.47</v>
      </c>
      <c r="G300" s="293">
        <f t="shared" si="5"/>
        <v>15.3794</v>
      </c>
      <c r="H300" s="124"/>
      <c r="I300" s="124"/>
    </row>
    <row r="301" spans="1:9" s="71" customFormat="1" ht="31.5">
      <c r="A301" s="243">
        <v>222</v>
      </c>
      <c r="B301" s="244" t="s">
        <v>31</v>
      </c>
      <c r="C301" s="83" t="s">
        <v>355</v>
      </c>
      <c r="D301" s="83"/>
      <c r="E301" s="83"/>
      <c r="F301" s="83"/>
      <c r="G301" s="291">
        <f t="shared" si="5"/>
        <v>0</v>
      </c>
      <c r="H301" s="70"/>
      <c r="I301" s="70"/>
    </row>
    <row r="302" spans="1:9" s="126" customFormat="1" ht="63">
      <c r="A302" s="127">
        <v>223</v>
      </c>
      <c r="B302" s="242" t="s">
        <v>370</v>
      </c>
      <c r="C302" s="240" t="s">
        <v>584</v>
      </c>
      <c r="D302" s="240">
        <v>7.1</v>
      </c>
      <c r="E302" s="240">
        <v>2.2</v>
      </c>
      <c r="F302" s="240">
        <v>2.9</v>
      </c>
      <c r="G302" s="291">
        <f t="shared" si="5"/>
        <v>15.620000000000001</v>
      </c>
      <c r="H302" s="124"/>
      <c r="I302" s="124"/>
    </row>
    <row r="303" spans="1:9" s="71" customFormat="1" ht="31.5">
      <c r="A303" s="243">
        <v>224</v>
      </c>
      <c r="B303" s="244" t="s">
        <v>357</v>
      </c>
      <c r="C303" s="83" t="s">
        <v>354</v>
      </c>
      <c r="D303" s="83">
        <v>12</v>
      </c>
      <c r="E303" s="83">
        <v>1.8</v>
      </c>
      <c r="F303" s="83"/>
      <c r="G303" s="291">
        <f t="shared" si="5"/>
        <v>21.6</v>
      </c>
      <c r="H303" s="70"/>
      <c r="I303" s="70"/>
    </row>
    <row r="304" spans="1:9" s="86" customFormat="1" ht="31.5">
      <c r="A304" s="82">
        <v>225</v>
      </c>
      <c r="B304" s="242" t="s">
        <v>360</v>
      </c>
      <c r="C304" s="240" t="s">
        <v>355</v>
      </c>
      <c r="D304" s="240"/>
      <c r="E304" s="240"/>
      <c r="F304" s="240"/>
      <c r="G304" s="291">
        <f t="shared" si="5"/>
        <v>0</v>
      </c>
      <c r="H304" s="241"/>
      <c r="I304" s="241"/>
    </row>
    <row r="305" spans="1:9" s="71" customFormat="1" ht="78.75">
      <c r="A305" s="319">
        <v>227</v>
      </c>
      <c r="B305" s="320" t="s">
        <v>368</v>
      </c>
      <c r="C305" s="83" t="s">
        <v>587</v>
      </c>
      <c r="D305" s="83">
        <v>6.7</v>
      </c>
      <c r="E305" s="83">
        <v>2.35</v>
      </c>
      <c r="F305" s="83">
        <v>2.4</v>
      </c>
      <c r="G305" s="293">
        <f t="shared" si="5"/>
        <v>15.745000000000001</v>
      </c>
      <c r="H305" s="84"/>
      <c r="I305" s="84"/>
    </row>
    <row r="306" spans="1:9" s="270" customFormat="1" ht="15.75">
      <c r="A306" s="391" t="s">
        <v>626</v>
      </c>
      <c r="B306" s="392"/>
      <c r="C306" s="393"/>
      <c r="D306" s="321"/>
      <c r="E306" s="321"/>
      <c r="F306" s="321"/>
      <c r="G306" s="310">
        <f>SUM(G307:G309,G310)</f>
        <v>277.625</v>
      </c>
      <c r="H306" s="212">
        <f>SUM(H307:H309,H310)</f>
        <v>405.5</v>
      </c>
      <c r="I306" s="212">
        <f>SUM(I307:I309,I310)</f>
        <v>0</v>
      </c>
    </row>
    <row r="307" spans="1:9" s="71" customFormat="1" ht="94.5">
      <c r="A307" s="319">
        <v>228</v>
      </c>
      <c r="B307" s="320" t="s">
        <v>461</v>
      </c>
      <c r="C307" s="83" t="s">
        <v>588</v>
      </c>
      <c r="D307" s="83">
        <v>13.2</v>
      </c>
      <c r="E307" s="83">
        <v>2.35</v>
      </c>
      <c r="F307" s="83">
        <v>2.45</v>
      </c>
      <c r="G307" s="293">
        <f t="shared" si="5"/>
        <v>31.02</v>
      </c>
      <c r="H307" s="84">
        <f>15*4</f>
        <v>60</v>
      </c>
      <c r="I307" s="84"/>
    </row>
    <row r="308" spans="1:9" s="71" customFormat="1" ht="47.25">
      <c r="A308" s="319">
        <v>229</v>
      </c>
      <c r="B308" s="320" t="s">
        <v>627</v>
      </c>
      <c r="C308" s="83" t="s">
        <v>1174</v>
      </c>
      <c r="D308" s="83">
        <v>24.3</v>
      </c>
      <c r="E308" s="83">
        <v>8</v>
      </c>
      <c r="F308" s="83"/>
      <c r="G308" s="291">
        <v>194.4</v>
      </c>
      <c r="H308" s="70">
        <v>247</v>
      </c>
      <c r="I308" s="70"/>
    </row>
    <row r="309" spans="1:10" s="71" customFormat="1" ht="94.5">
      <c r="A309" s="319">
        <v>230</v>
      </c>
      <c r="B309" s="320" t="s">
        <v>829</v>
      </c>
      <c r="C309" s="83" t="s">
        <v>828</v>
      </c>
      <c r="D309" s="83">
        <v>7.9</v>
      </c>
      <c r="E309" s="83">
        <v>2.45</v>
      </c>
      <c r="F309" s="83">
        <v>2.6</v>
      </c>
      <c r="G309" s="293">
        <f t="shared" si="5"/>
        <v>19.355000000000004</v>
      </c>
      <c r="H309" s="84">
        <f>10*4</f>
        <v>40</v>
      </c>
      <c r="I309" s="84"/>
      <c r="J309" s="71" t="s">
        <v>1179</v>
      </c>
    </row>
    <row r="310" spans="1:10" s="71" customFormat="1" ht="94.5">
      <c r="A310" s="319">
        <v>231</v>
      </c>
      <c r="B310" s="320" t="s">
        <v>830</v>
      </c>
      <c r="C310" s="83" t="s">
        <v>831</v>
      </c>
      <c r="D310" s="83">
        <v>10.95</v>
      </c>
      <c r="E310" s="83">
        <v>3</v>
      </c>
      <c r="F310" s="83">
        <v>2.6</v>
      </c>
      <c r="G310" s="291">
        <f t="shared" si="5"/>
        <v>32.849999999999994</v>
      </c>
      <c r="H310" s="84">
        <f>13*4.5</f>
        <v>58.5</v>
      </c>
      <c r="I310" s="84"/>
      <c r="J310" s="71" t="s">
        <v>1179</v>
      </c>
    </row>
    <row r="311" spans="1:9" s="270" customFormat="1" ht="15.75">
      <c r="A311" s="391" t="s">
        <v>1175</v>
      </c>
      <c r="B311" s="392"/>
      <c r="C311" s="393"/>
      <c r="D311" s="321"/>
      <c r="E311" s="321"/>
      <c r="F311" s="321"/>
      <c r="G311" s="310">
        <f>SUM(G312:G313,G315,G317,G318,G320,G322,G323,G325,G326,G327,G328,G329:G331,G332:G334,G335:G337,G338)</f>
        <v>1036.7259999999999</v>
      </c>
      <c r="H311" s="212">
        <f>SUM(H312:H313,H315,H317,H318,H320,H322,H323,H325,H326,H327,H328,H329:H331,H332:H334,H335:H337,H338)</f>
        <v>1728.556</v>
      </c>
      <c r="I311" s="212">
        <f>SUM(I312:I313,I315,I317,I318,I320,I322,I323,I325,I326,I327,I328,I329:I331,I332:I334,I335:I337,I338)</f>
        <v>150</v>
      </c>
    </row>
    <row r="312" spans="1:9" s="270" customFormat="1" ht="63">
      <c r="A312" s="233">
        <v>232</v>
      </c>
      <c r="B312" s="201" t="s">
        <v>1131</v>
      </c>
      <c r="C312" s="210" t="s">
        <v>942</v>
      </c>
      <c r="D312" s="210">
        <v>10</v>
      </c>
      <c r="E312" s="210">
        <v>3</v>
      </c>
      <c r="F312" s="210"/>
      <c r="G312" s="292">
        <f t="shared" si="5"/>
        <v>30</v>
      </c>
      <c r="H312" s="211">
        <f>12*4.5</f>
        <v>54</v>
      </c>
      <c r="I312" s="211">
        <v>75</v>
      </c>
    </row>
    <row r="313" spans="1:9" s="270" customFormat="1" ht="63">
      <c r="A313" s="233">
        <v>233</v>
      </c>
      <c r="B313" s="201" t="s">
        <v>1132</v>
      </c>
      <c r="C313" s="210" t="s">
        <v>942</v>
      </c>
      <c r="D313" s="210">
        <v>10</v>
      </c>
      <c r="E313" s="210">
        <v>3</v>
      </c>
      <c r="F313" s="210"/>
      <c r="G313" s="292">
        <f t="shared" si="5"/>
        <v>30</v>
      </c>
      <c r="H313" s="211">
        <f>12*4.5</f>
        <v>54</v>
      </c>
      <c r="I313" s="211">
        <v>75</v>
      </c>
    </row>
    <row r="314" spans="1:9" s="71" customFormat="1" ht="15.75">
      <c r="A314" s="396">
        <v>234</v>
      </c>
      <c r="B314" s="398" t="s">
        <v>837</v>
      </c>
      <c r="C314" s="83" t="s">
        <v>241</v>
      </c>
      <c r="D314" s="83">
        <v>3.2</v>
      </c>
      <c r="E314" s="83">
        <v>3.2</v>
      </c>
      <c r="F314" s="83"/>
      <c r="G314" s="293">
        <f t="shared" si="5"/>
        <v>10.240000000000002</v>
      </c>
      <c r="H314" s="84"/>
      <c r="I314" s="84"/>
    </row>
    <row r="315" spans="1:9" s="71" customFormat="1" ht="78.75">
      <c r="A315" s="397"/>
      <c r="B315" s="399"/>
      <c r="C315" s="83" t="s">
        <v>790</v>
      </c>
      <c r="D315" s="83">
        <v>22.5</v>
      </c>
      <c r="E315" s="83">
        <v>3.6</v>
      </c>
      <c r="F315" s="83">
        <v>3.05</v>
      </c>
      <c r="G315" s="293">
        <f>D315*E315-G314</f>
        <v>70.75999999999999</v>
      </c>
      <c r="H315" s="84">
        <f>24.5*5-G314</f>
        <v>112.25999999999999</v>
      </c>
      <c r="I315" s="84"/>
    </row>
    <row r="316" spans="1:9" s="71" customFormat="1" ht="15.75">
      <c r="A316" s="396">
        <v>235</v>
      </c>
      <c r="B316" s="398" t="s">
        <v>285</v>
      </c>
      <c r="C316" s="83" t="s">
        <v>241</v>
      </c>
      <c r="D316" s="83">
        <v>3</v>
      </c>
      <c r="E316" s="83">
        <v>3.05</v>
      </c>
      <c r="F316" s="83"/>
      <c r="G316" s="293">
        <f t="shared" si="5"/>
        <v>9.149999999999999</v>
      </c>
      <c r="H316" s="84"/>
      <c r="I316" s="84"/>
    </row>
    <row r="317" spans="1:9" s="71" customFormat="1" ht="78.75">
      <c r="A317" s="397"/>
      <c r="B317" s="399"/>
      <c r="C317" s="83" t="s">
        <v>838</v>
      </c>
      <c r="D317" s="83">
        <v>17.6</v>
      </c>
      <c r="E317" s="83">
        <v>3.3</v>
      </c>
      <c r="F317" s="83">
        <v>3.05</v>
      </c>
      <c r="G317" s="291">
        <f>D317*E317-G316</f>
        <v>48.93</v>
      </c>
      <c r="H317" s="84">
        <f>19.5*5-G316</f>
        <v>88.35</v>
      </c>
      <c r="I317" s="84"/>
    </row>
    <row r="318" spans="1:9" s="71" customFormat="1" ht="78.75">
      <c r="A318" s="319">
        <v>236</v>
      </c>
      <c r="B318" s="311" t="s">
        <v>250</v>
      </c>
      <c r="C318" s="83" t="s">
        <v>790</v>
      </c>
      <c r="D318" s="83">
        <v>20.5</v>
      </c>
      <c r="E318" s="83">
        <v>3.2</v>
      </c>
      <c r="F318" s="83">
        <v>3.4</v>
      </c>
      <c r="G318" s="291">
        <f t="shared" si="5"/>
        <v>65.60000000000001</v>
      </c>
      <c r="H318" s="84">
        <f>22.5*4.5</f>
        <v>101.25</v>
      </c>
      <c r="I318" s="84"/>
    </row>
    <row r="319" spans="1:9" s="71" customFormat="1" ht="15.75">
      <c r="A319" s="396">
        <v>237</v>
      </c>
      <c r="B319" s="398" t="s">
        <v>251</v>
      </c>
      <c r="C319" s="83" t="s">
        <v>241</v>
      </c>
      <c r="D319" s="83">
        <v>3.2</v>
      </c>
      <c r="E319" s="83">
        <v>3.2</v>
      </c>
      <c r="F319" s="83"/>
      <c r="G319" s="291">
        <f t="shared" si="5"/>
        <v>10.240000000000002</v>
      </c>
      <c r="H319" s="84"/>
      <c r="I319" s="84"/>
    </row>
    <row r="320" spans="1:9" s="71" customFormat="1" ht="63">
      <c r="A320" s="397"/>
      <c r="B320" s="399"/>
      <c r="C320" s="83" t="s">
        <v>839</v>
      </c>
      <c r="D320" s="83">
        <v>20</v>
      </c>
      <c r="E320" s="83">
        <v>3.4</v>
      </c>
      <c r="F320" s="83">
        <v>2.9</v>
      </c>
      <c r="G320" s="293">
        <f>D320*E320-G319</f>
        <v>57.76</v>
      </c>
      <c r="H320" s="84">
        <f>22*5-G319</f>
        <v>99.75999999999999</v>
      </c>
      <c r="I320" s="84"/>
    </row>
    <row r="321" spans="1:9" s="71" customFormat="1" ht="15.75">
      <c r="A321" s="396">
        <v>238</v>
      </c>
      <c r="B321" s="398" t="s">
        <v>252</v>
      </c>
      <c r="C321" s="83" t="s">
        <v>631</v>
      </c>
      <c r="D321" s="83">
        <v>5.16</v>
      </c>
      <c r="E321" s="83">
        <v>3.2</v>
      </c>
      <c r="F321" s="83"/>
      <c r="G321" s="293">
        <f t="shared" si="5"/>
        <v>16.512</v>
      </c>
      <c r="H321" s="84"/>
      <c r="I321" s="84"/>
    </row>
    <row r="322" spans="1:9" s="71" customFormat="1" ht="78.75">
      <c r="A322" s="397"/>
      <c r="B322" s="399"/>
      <c r="C322" s="83" t="s">
        <v>753</v>
      </c>
      <c r="D322" s="83">
        <v>39</v>
      </c>
      <c r="E322" s="83">
        <v>4.2</v>
      </c>
      <c r="F322" s="83">
        <v>3.8</v>
      </c>
      <c r="G322" s="293">
        <f>D322*E322-G321*2</f>
        <v>130.776</v>
      </c>
      <c r="H322" s="84">
        <f>41*5.5-G321*2</f>
        <v>192.476</v>
      </c>
      <c r="I322" s="84"/>
    </row>
    <row r="323" spans="1:9" s="71" customFormat="1" ht="78.75">
      <c r="A323" s="319"/>
      <c r="B323" s="311" t="s">
        <v>253</v>
      </c>
      <c r="C323" s="83" t="s">
        <v>1171</v>
      </c>
      <c r="D323" s="83">
        <v>20</v>
      </c>
      <c r="E323" s="83">
        <v>3.4</v>
      </c>
      <c r="F323" s="83">
        <v>2.9</v>
      </c>
      <c r="G323" s="291">
        <f t="shared" si="5"/>
        <v>68</v>
      </c>
      <c r="H323" s="84">
        <f>22*5</f>
        <v>110</v>
      </c>
      <c r="I323" s="84"/>
    </row>
    <row r="324" spans="1:9" s="71" customFormat="1" ht="15.75">
      <c r="A324" s="396">
        <v>240</v>
      </c>
      <c r="B324" s="398" t="s">
        <v>254</v>
      </c>
      <c r="C324" s="83" t="s">
        <v>239</v>
      </c>
      <c r="D324" s="83">
        <v>9.4</v>
      </c>
      <c r="E324" s="83">
        <v>3.9</v>
      </c>
      <c r="F324" s="83"/>
      <c r="G324" s="293">
        <f t="shared" si="5"/>
        <v>36.660000000000004</v>
      </c>
      <c r="H324" s="84"/>
      <c r="I324" s="84"/>
    </row>
    <row r="325" spans="1:9" s="71" customFormat="1" ht="78.75">
      <c r="A325" s="397"/>
      <c r="B325" s="399"/>
      <c r="C325" s="83" t="s">
        <v>755</v>
      </c>
      <c r="D325" s="83">
        <v>23</v>
      </c>
      <c r="E325" s="83">
        <v>5</v>
      </c>
      <c r="F325" s="83">
        <v>3.2</v>
      </c>
      <c r="G325" s="291">
        <f>D325*E325-G324</f>
        <v>78.34</v>
      </c>
      <c r="H325" s="84">
        <f>25*6-G324+2.3*1.2+1.7*0.9</f>
        <v>117.63000000000001</v>
      </c>
      <c r="I325" s="84"/>
    </row>
    <row r="326" spans="1:9" s="71" customFormat="1" ht="31.5">
      <c r="A326" s="243">
        <v>241</v>
      </c>
      <c r="B326" s="244" t="s">
        <v>255</v>
      </c>
      <c r="C326" s="83" t="s">
        <v>1186</v>
      </c>
      <c r="D326" s="83">
        <v>18.1</v>
      </c>
      <c r="E326" s="83">
        <v>4.2</v>
      </c>
      <c r="F326" s="83"/>
      <c r="G326" s="291">
        <f t="shared" si="5"/>
        <v>76.02000000000001</v>
      </c>
      <c r="H326" s="84">
        <f>20*5.5+1.3*2.8+1.2*2.6</f>
        <v>116.76</v>
      </c>
      <c r="I326" s="84"/>
    </row>
    <row r="327" spans="1:10" s="71" customFormat="1" ht="78.75">
      <c r="A327" s="243">
        <v>242</v>
      </c>
      <c r="B327" s="244" t="s">
        <v>256</v>
      </c>
      <c r="C327" s="83" t="s">
        <v>842</v>
      </c>
      <c r="D327" s="83">
        <v>8.05</v>
      </c>
      <c r="E327" s="83">
        <v>3</v>
      </c>
      <c r="F327" s="83">
        <v>2.6</v>
      </c>
      <c r="G327" s="291">
        <f t="shared" si="5"/>
        <v>24.150000000000002</v>
      </c>
      <c r="H327" s="84">
        <f>10*4.5+0.6*1.2*2+1.2*0.9*2</f>
        <v>48.599999999999994</v>
      </c>
      <c r="I327" s="84"/>
      <c r="J327" s="71" t="s">
        <v>1179</v>
      </c>
    </row>
    <row r="328" spans="1:10" s="71" customFormat="1" ht="78.75">
      <c r="A328" s="243">
        <v>243</v>
      </c>
      <c r="B328" s="244" t="s">
        <v>257</v>
      </c>
      <c r="C328" s="83" t="s">
        <v>843</v>
      </c>
      <c r="D328" s="83">
        <v>6.5</v>
      </c>
      <c r="E328" s="83">
        <v>2.5</v>
      </c>
      <c r="F328" s="83">
        <v>2.6</v>
      </c>
      <c r="G328" s="291">
        <f t="shared" si="5"/>
        <v>16.25</v>
      </c>
      <c r="H328" s="84">
        <f>8.5*4</f>
        <v>34</v>
      </c>
      <c r="I328" s="84"/>
      <c r="J328" s="71" t="s">
        <v>1179</v>
      </c>
    </row>
    <row r="329" spans="1:9" s="71" customFormat="1" ht="94.5">
      <c r="A329" s="243">
        <v>244</v>
      </c>
      <c r="B329" s="201" t="s">
        <v>258</v>
      </c>
      <c r="C329" s="210" t="s">
        <v>1126</v>
      </c>
      <c r="D329" s="210">
        <v>14</v>
      </c>
      <c r="E329" s="210">
        <v>3</v>
      </c>
      <c r="F329" s="210">
        <v>2.3</v>
      </c>
      <c r="G329" s="292">
        <f t="shared" si="5"/>
        <v>42</v>
      </c>
      <c r="H329" s="211">
        <f>16*4.5</f>
        <v>72</v>
      </c>
      <c r="I329" s="211"/>
    </row>
    <row r="330" spans="1:9" s="71" customFormat="1" ht="94.5">
      <c r="A330" s="243">
        <v>245</v>
      </c>
      <c r="B330" s="244" t="s">
        <v>259</v>
      </c>
      <c r="C330" s="83" t="s">
        <v>784</v>
      </c>
      <c r="D330" s="83">
        <v>18</v>
      </c>
      <c r="E330" s="83">
        <v>3.9</v>
      </c>
      <c r="F330" s="83">
        <v>2.75</v>
      </c>
      <c r="G330" s="291">
        <f t="shared" si="5"/>
        <v>70.2</v>
      </c>
      <c r="H330" s="84">
        <f>20*5</f>
        <v>100</v>
      </c>
      <c r="I330" s="84"/>
    </row>
    <row r="331" spans="1:9" s="71" customFormat="1" ht="78.75">
      <c r="A331" s="243">
        <v>246</v>
      </c>
      <c r="B331" s="244" t="s">
        <v>260</v>
      </c>
      <c r="C331" s="83" t="s">
        <v>757</v>
      </c>
      <c r="D331" s="83">
        <v>8</v>
      </c>
      <c r="E331" s="83">
        <v>2</v>
      </c>
      <c r="F331" s="83">
        <v>3.4</v>
      </c>
      <c r="G331" s="291">
        <f t="shared" si="5"/>
        <v>16</v>
      </c>
      <c r="H331" s="84">
        <f>10*2.5+5.5*2.3</f>
        <v>37.65</v>
      </c>
      <c r="I331" s="84"/>
    </row>
    <row r="332" spans="1:9" s="71" customFormat="1" ht="47.25">
      <c r="A332" s="243">
        <v>247</v>
      </c>
      <c r="B332" s="244" t="s">
        <v>261</v>
      </c>
      <c r="C332" s="83" t="s">
        <v>1185</v>
      </c>
      <c r="D332" s="83">
        <v>5.9</v>
      </c>
      <c r="E332" s="83">
        <v>3.1</v>
      </c>
      <c r="F332" s="83"/>
      <c r="G332" s="293">
        <f t="shared" si="5"/>
        <v>18.290000000000003</v>
      </c>
      <c r="H332" s="84">
        <f>8*4.5</f>
        <v>36</v>
      </c>
      <c r="I332" s="84"/>
    </row>
    <row r="333" spans="1:9" s="71" customFormat="1" ht="63">
      <c r="A333" s="243">
        <v>248</v>
      </c>
      <c r="B333" s="244" t="s">
        <v>262</v>
      </c>
      <c r="C333" s="83" t="s">
        <v>759</v>
      </c>
      <c r="D333" s="83">
        <v>12.1</v>
      </c>
      <c r="E333" s="83">
        <v>3</v>
      </c>
      <c r="F333" s="83">
        <v>2.75</v>
      </c>
      <c r="G333" s="291">
        <f t="shared" si="5"/>
        <v>36.3</v>
      </c>
      <c r="H333" s="84">
        <f>14*4.5</f>
        <v>63</v>
      </c>
      <c r="I333" s="84"/>
    </row>
    <row r="334" spans="1:9" s="71" customFormat="1" ht="110.25">
      <c r="A334" s="243">
        <v>249</v>
      </c>
      <c r="B334" s="244" t="s">
        <v>781</v>
      </c>
      <c r="C334" s="83" t="s">
        <v>780</v>
      </c>
      <c r="D334" s="83">
        <v>12.1</v>
      </c>
      <c r="E334" s="83">
        <v>3.6</v>
      </c>
      <c r="F334" s="83">
        <v>2.9</v>
      </c>
      <c r="G334" s="291">
        <f t="shared" si="5"/>
        <v>43.56</v>
      </c>
      <c r="H334" s="84">
        <f>14*5</f>
        <v>70</v>
      </c>
      <c r="I334" s="84"/>
    </row>
    <row r="335" spans="1:9" s="71" customFormat="1" ht="63">
      <c r="A335" s="243">
        <v>250</v>
      </c>
      <c r="B335" s="244" t="s">
        <v>263</v>
      </c>
      <c r="C335" s="83" t="s">
        <v>761</v>
      </c>
      <c r="D335" s="83">
        <v>17.4</v>
      </c>
      <c r="E335" s="83">
        <v>2.4</v>
      </c>
      <c r="F335" s="83"/>
      <c r="G335" s="293">
        <f t="shared" si="5"/>
        <v>41.76</v>
      </c>
      <c r="H335" s="84">
        <f>19.5*4+0.5*1.2+1.2*1.2</f>
        <v>80.03999999999999</v>
      </c>
      <c r="I335" s="84"/>
    </row>
    <row r="336" spans="1:9" s="71" customFormat="1" ht="78.75">
      <c r="A336" s="243">
        <v>251</v>
      </c>
      <c r="B336" s="244" t="s">
        <v>264</v>
      </c>
      <c r="C336" s="83" t="s">
        <v>778</v>
      </c>
      <c r="D336" s="83">
        <v>8</v>
      </c>
      <c r="E336" s="83">
        <v>2.5</v>
      </c>
      <c r="F336" s="83">
        <v>3.5</v>
      </c>
      <c r="G336" s="291">
        <f t="shared" si="5"/>
        <v>20</v>
      </c>
      <c r="H336" s="84">
        <f>10*4</f>
        <v>40</v>
      </c>
      <c r="I336" s="84"/>
    </row>
    <row r="337" spans="1:9" s="71" customFormat="1" ht="78.75">
      <c r="A337" s="243">
        <v>252</v>
      </c>
      <c r="B337" s="244" t="s">
        <v>265</v>
      </c>
      <c r="C337" s="83" t="s">
        <v>763</v>
      </c>
      <c r="D337" s="83">
        <v>12.1</v>
      </c>
      <c r="E337" s="83">
        <v>3.1</v>
      </c>
      <c r="F337" s="83">
        <v>2.4</v>
      </c>
      <c r="G337" s="293">
        <f>D337*E337+2.1*1.2</f>
        <v>40.03</v>
      </c>
      <c r="H337" s="84">
        <f>14.1*4.6+1.1*2.2+2.5*2.2</f>
        <v>72.78</v>
      </c>
      <c r="I337" s="84"/>
    </row>
    <row r="338" spans="1:9" s="71" customFormat="1" ht="94.5">
      <c r="A338" s="243">
        <v>253</v>
      </c>
      <c r="B338" s="244" t="s">
        <v>266</v>
      </c>
      <c r="C338" s="83" t="s">
        <v>775</v>
      </c>
      <c r="D338" s="83">
        <v>6</v>
      </c>
      <c r="E338" s="83">
        <v>2</v>
      </c>
      <c r="F338" s="83">
        <v>2.4</v>
      </c>
      <c r="G338" s="291">
        <f t="shared" si="5"/>
        <v>12</v>
      </c>
      <c r="H338" s="84">
        <f>8*3.5</f>
        <v>28</v>
      </c>
      <c r="I338" s="84"/>
    </row>
    <row r="339" spans="1:9" s="71" customFormat="1" ht="15.75">
      <c r="A339" s="243">
        <v>254</v>
      </c>
      <c r="B339" s="244" t="s">
        <v>267</v>
      </c>
      <c r="C339" s="83" t="s">
        <v>238</v>
      </c>
      <c r="D339" s="83"/>
      <c r="E339" s="83"/>
      <c r="F339" s="83"/>
      <c r="G339" s="291"/>
      <c r="H339" s="70"/>
      <c r="I339" s="70"/>
    </row>
    <row r="340" spans="1:9" s="71" customFormat="1" ht="15.75">
      <c r="A340" s="449" t="s">
        <v>98</v>
      </c>
      <c r="B340" s="450"/>
      <c r="C340" s="450"/>
      <c r="D340" s="451"/>
      <c r="E340" s="451"/>
      <c r="F340" s="451"/>
      <c r="G340" s="309">
        <f>SUM(G341:G355)</f>
        <v>384.895</v>
      </c>
      <c r="H340" s="70"/>
      <c r="I340" s="70"/>
    </row>
    <row r="341" spans="1:9" s="71" customFormat="1" ht="78.75">
      <c r="A341" s="452">
        <v>255</v>
      </c>
      <c r="B341" s="320" t="s">
        <v>462</v>
      </c>
      <c r="C341" s="83" t="s">
        <v>590</v>
      </c>
      <c r="D341" s="83">
        <v>12</v>
      </c>
      <c r="E341" s="83">
        <v>2.3</v>
      </c>
      <c r="F341" s="83">
        <v>2.55</v>
      </c>
      <c r="G341" s="291">
        <f>D341*E341+2.4*2</f>
        <v>32.4</v>
      </c>
      <c r="H341" s="84"/>
      <c r="I341" s="84"/>
    </row>
    <row r="342" spans="1:9" s="71" customFormat="1" ht="94.5">
      <c r="A342" s="452">
        <v>256</v>
      </c>
      <c r="B342" s="320" t="s">
        <v>602</v>
      </c>
      <c r="C342" s="83" t="s">
        <v>603</v>
      </c>
      <c r="D342" s="83">
        <v>12</v>
      </c>
      <c r="E342" s="83">
        <v>3.6</v>
      </c>
      <c r="F342" s="83">
        <v>2.44</v>
      </c>
      <c r="G342" s="291">
        <f>D342*E342-2.4*3</f>
        <v>36</v>
      </c>
      <c r="H342" s="84"/>
      <c r="I342" s="84"/>
    </row>
    <row r="343" spans="1:9" s="71" customFormat="1" ht="31.5">
      <c r="A343" s="452">
        <v>257</v>
      </c>
      <c r="B343" s="244" t="s">
        <v>100</v>
      </c>
      <c r="C343" s="83" t="s">
        <v>463</v>
      </c>
      <c r="D343" s="83">
        <v>9</v>
      </c>
      <c r="E343" s="83">
        <v>3</v>
      </c>
      <c r="F343" s="83"/>
      <c r="G343" s="291">
        <f t="shared" si="5"/>
        <v>27</v>
      </c>
      <c r="H343" s="84"/>
      <c r="I343" s="84"/>
    </row>
    <row r="344" spans="1:9" s="71" customFormat="1" ht="78.75">
      <c r="A344" s="452">
        <v>258</v>
      </c>
      <c r="B344" s="244" t="s">
        <v>101</v>
      </c>
      <c r="C344" s="240" t="s">
        <v>600</v>
      </c>
      <c r="D344" s="240">
        <v>9.5</v>
      </c>
      <c r="E344" s="240">
        <v>4.8</v>
      </c>
      <c r="F344" s="240">
        <v>3.5</v>
      </c>
      <c r="G344" s="291">
        <f t="shared" si="5"/>
        <v>45.6</v>
      </c>
      <c r="H344" s="124"/>
      <c r="I344" s="124"/>
    </row>
    <row r="345" spans="1:9" s="126" customFormat="1" ht="78.75">
      <c r="A345" s="452">
        <v>259</v>
      </c>
      <c r="B345" s="242" t="s">
        <v>102</v>
      </c>
      <c r="C345" s="240" t="s">
        <v>467</v>
      </c>
      <c r="D345" s="240">
        <v>8</v>
      </c>
      <c r="E345" s="240">
        <v>4</v>
      </c>
      <c r="F345" s="240">
        <v>2.3</v>
      </c>
      <c r="G345" s="291">
        <f t="shared" si="5"/>
        <v>32</v>
      </c>
      <c r="H345" s="124"/>
      <c r="I345" s="124"/>
    </row>
    <row r="346" spans="1:9" s="71" customFormat="1" ht="78.75">
      <c r="A346" s="452">
        <v>260</v>
      </c>
      <c r="B346" s="244" t="s">
        <v>103</v>
      </c>
      <c r="C346" s="240" t="s">
        <v>599</v>
      </c>
      <c r="D346" s="240">
        <v>4.6</v>
      </c>
      <c r="E346" s="240">
        <v>2.05</v>
      </c>
      <c r="F346" s="240">
        <v>2.4</v>
      </c>
      <c r="G346" s="291">
        <f t="shared" si="5"/>
        <v>9.429999999999998</v>
      </c>
      <c r="H346" s="124"/>
      <c r="I346" s="124"/>
    </row>
    <row r="347" spans="1:9" s="126" customFormat="1" ht="78.75">
      <c r="A347" s="452">
        <v>261</v>
      </c>
      <c r="B347" s="242" t="s">
        <v>104</v>
      </c>
      <c r="C347" s="240" t="s">
        <v>469</v>
      </c>
      <c r="D347" s="240">
        <v>8.25</v>
      </c>
      <c r="E347" s="240">
        <v>3.05</v>
      </c>
      <c r="F347" s="240">
        <v>2.75</v>
      </c>
      <c r="G347" s="293">
        <f aca="true" t="shared" si="6" ref="G347:G358">D347*E347</f>
        <v>25.162499999999998</v>
      </c>
      <c r="H347" s="124"/>
      <c r="I347" s="124"/>
    </row>
    <row r="348" spans="1:9" s="71" customFormat="1" ht="78.75">
      <c r="A348" s="243">
        <v>262</v>
      </c>
      <c r="B348" s="244" t="s">
        <v>105</v>
      </c>
      <c r="C348" s="240" t="s">
        <v>597</v>
      </c>
      <c r="D348" s="240">
        <v>9</v>
      </c>
      <c r="E348" s="240">
        <v>5.5</v>
      </c>
      <c r="F348" s="240">
        <v>2.8</v>
      </c>
      <c r="G348" s="293">
        <f>D348*E348+1.4*1.2</f>
        <v>51.18</v>
      </c>
      <c r="H348" s="124"/>
      <c r="I348" s="124"/>
    </row>
    <row r="349" spans="1:9" s="126" customFormat="1" ht="31.5">
      <c r="A349" s="243">
        <v>263</v>
      </c>
      <c r="B349" s="242" t="s">
        <v>106</v>
      </c>
      <c r="C349" s="240" t="s">
        <v>463</v>
      </c>
      <c r="D349" s="240">
        <v>5.95</v>
      </c>
      <c r="E349" s="240">
        <v>1.4</v>
      </c>
      <c r="F349" s="240"/>
      <c r="G349" s="291">
        <f t="shared" si="6"/>
        <v>8.33</v>
      </c>
      <c r="H349" s="124"/>
      <c r="I349" s="124"/>
    </row>
    <row r="350" spans="1:9" s="71" customFormat="1" ht="78.75">
      <c r="A350" s="243">
        <v>264</v>
      </c>
      <c r="B350" s="244" t="s">
        <v>107</v>
      </c>
      <c r="C350" s="240" t="s">
        <v>595</v>
      </c>
      <c r="D350" s="240">
        <v>14.7</v>
      </c>
      <c r="E350" s="240">
        <v>2.35</v>
      </c>
      <c r="F350" s="240">
        <v>2.3</v>
      </c>
      <c r="G350" s="293">
        <f t="shared" si="6"/>
        <v>34.545</v>
      </c>
      <c r="H350" s="124"/>
      <c r="I350" s="124"/>
    </row>
    <row r="351" spans="1:9" s="126" customFormat="1" ht="78.75">
      <c r="A351" s="243">
        <v>265</v>
      </c>
      <c r="B351" s="242" t="s">
        <v>108</v>
      </c>
      <c r="C351" s="240" t="s">
        <v>470</v>
      </c>
      <c r="D351" s="240">
        <v>4.1</v>
      </c>
      <c r="E351" s="240">
        <v>1.6</v>
      </c>
      <c r="F351" s="240">
        <v>2.4</v>
      </c>
      <c r="G351" s="293">
        <f t="shared" si="6"/>
        <v>6.56</v>
      </c>
      <c r="H351" s="124"/>
      <c r="I351" s="124"/>
    </row>
    <row r="352" spans="1:9" s="71" customFormat="1" ht="78.75">
      <c r="A352" s="243">
        <v>266</v>
      </c>
      <c r="B352" s="244" t="s">
        <v>109</v>
      </c>
      <c r="C352" s="240" t="s">
        <v>593</v>
      </c>
      <c r="D352" s="240">
        <v>6.05</v>
      </c>
      <c r="E352" s="240">
        <v>3.15</v>
      </c>
      <c r="F352" s="240">
        <v>2.55</v>
      </c>
      <c r="G352" s="293">
        <f t="shared" si="6"/>
        <v>19.057499999999997</v>
      </c>
      <c r="H352" s="124"/>
      <c r="I352" s="124"/>
    </row>
    <row r="353" spans="1:9" s="126" customFormat="1" ht="78.75">
      <c r="A353" s="243">
        <v>267</v>
      </c>
      <c r="B353" s="242" t="s">
        <v>110</v>
      </c>
      <c r="C353" s="240" t="s">
        <v>472</v>
      </c>
      <c r="D353" s="240">
        <v>6</v>
      </c>
      <c r="E353" s="240">
        <v>2</v>
      </c>
      <c r="F353" s="240">
        <v>2.5</v>
      </c>
      <c r="G353" s="291">
        <f t="shared" si="6"/>
        <v>12</v>
      </c>
      <c r="H353" s="124"/>
      <c r="I353" s="124"/>
    </row>
    <row r="354" spans="1:9" s="126" customFormat="1" ht="78.75">
      <c r="A354" s="243">
        <v>268</v>
      </c>
      <c r="B354" s="242" t="s">
        <v>111</v>
      </c>
      <c r="C354" s="240" t="s">
        <v>591</v>
      </c>
      <c r="D354" s="240">
        <v>9.8</v>
      </c>
      <c r="E354" s="240">
        <v>2.1</v>
      </c>
      <c r="F354" s="240">
        <v>2.55</v>
      </c>
      <c r="G354" s="293">
        <f>D354*E354+4*3</f>
        <v>32.58</v>
      </c>
      <c r="H354" s="124"/>
      <c r="I354" s="124"/>
    </row>
    <row r="355" spans="1:9" s="71" customFormat="1" ht="78.75">
      <c r="A355" s="243">
        <v>269</v>
      </c>
      <c r="B355" s="244" t="s">
        <v>112</v>
      </c>
      <c r="C355" s="83" t="s">
        <v>473</v>
      </c>
      <c r="D355" s="83">
        <v>4.5</v>
      </c>
      <c r="E355" s="83">
        <v>2.9</v>
      </c>
      <c r="F355" s="83">
        <v>2.55</v>
      </c>
      <c r="G355" s="293">
        <f t="shared" si="6"/>
        <v>13.049999999999999</v>
      </c>
      <c r="H355" s="84"/>
      <c r="I355" s="84"/>
    </row>
    <row r="356" spans="1:9" s="71" customFormat="1" ht="15.75">
      <c r="A356" s="449" t="s">
        <v>248</v>
      </c>
      <c r="B356" s="450"/>
      <c r="C356" s="450"/>
      <c r="D356" s="451"/>
      <c r="E356" s="451"/>
      <c r="F356" s="451"/>
      <c r="G356" s="231">
        <f t="shared" si="6"/>
        <v>0</v>
      </c>
      <c r="H356" s="70"/>
      <c r="I356" s="70"/>
    </row>
    <row r="357" spans="1:9" s="71" customFormat="1" ht="15.75">
      <c r="A357" s="243">
        <v>270</v>
      </c>
      <c r="B357" s="244" t="s">
        <v>138</v>
      </c>
      <c r="C357" s="453" t="s">
        <v>240</v>
      </c>
      <c r="D357" s="453"/>
      <c r="E357" s="453"/>
      <c r="F357" s="453"/>
      <c r="G357" s="291">
        <f t="shared" si="6"/>
        <v>0</v>
      </c>
      <c r="H357" s="70"/>
      <c r="I357" s="70"/>
    </row>
    <row r="358" spans="1:9" s="71" customFormat="1" ht="15.75">
      <c r="A358" s="243">
        <v>172</v>
      </c>
      <c r="B358" s="244" t="s">
        <v>286</v>
      </c>
      <c r="C358" s="83" t="s">
        <v>389</v>
      </c>
      <c r="D358" s="83"/>
      <c r="E358" s="83"/>
      <c r="F358" s="83"/>
      <c r="G358" s="291">
        <f t="shared" si="6"/>
        <v>0</v>
      </c>
      <c r="H358" s="70"/>
      <c r="I358" s="70"/>
    </row>
    <row r="359" spans="1:7" s="71" customFormat="1" ht="13.5" thickBot="1">
      <c r="A359" s="120"/>
      <c r="B359" s="139"/>
      <c r="C359" s="173"/>
      <c r="D359" s="173"/>
      <c r="E359" s="173"/>
      <c r="F359" s="173"/>
      <c r="G359" s="223"/>
    </row>
    <row r="360" spans="1:9" s="270" customFormat="1" ht="24" customHeight="1" thickBot="1">
      <c r="A360" s="312"/>
      <c r="B360" s="410"/>
      <c r="C360" s="410"/>
      <c r="D360" s="313"/>
      <c r="E360" s="313"/>
      <c r="F360" s="313"/>
      <c r="G360" s="314"/>
      <c r="H360" s="316"/>
      <c r="I360" s="315"/>
    </row>
    <row r="361" spans="1:7" s="71" customFormat="1" ht="12.75">
      <c r="A361" s="120"/>
      <c r="B361" s="140"/>
      <c r="C361" s="173"/>
      <c r="D361" s="173"/>
      <c r="E361" s="173"/>
      <c r="F361" s="173"/>
      <c r="G361" s="223"/>
    </row>
  </sheetData>
  <sheetProtection/>
  <mergeCells count="103">
    <mergeCell ref="A340:C340"/>
    <mergeCell ref="B360:C360"/>
    <mergeCell ref="A324:A325"/>
    <mergeCell ref="B324:B325"/>
    <mergeCell ref="A316:A317"/>
    <mergeCell ref="B316:B317"/>
    <mergeCell ref="A319:A320"/>
    <mergeCell ref="B319:B320"/>
    <mergeCell ref="A356:C356"/>
    <mergeCell ref="A321:A322"/>
    <mergeCell ref="B321:B322"/>
    <mergeCell ref="A290:A291"/>
    <mergeCell ref="B290:B291"/>
    <mergeCell ref="A292:A293"/>
    <mergeCell ref="B292:B293"/>
    <mergeCell ref="A306:C306"/>
    <mergeCell ref="A311:C311"/>
    <mergeCell ref="A314:A315"/>
    <mergeCell ref="B314:B315"/>
    <mergeCell ref="A253:C253"/>
    <mergeCell ref="A258:C258"/>
    <mergeCell ref="A273:C273"/>
    <mergeCell ref="A283:I283"/>
    <mergeCell ref="A284:C284"/>
    <mergeCell ref="A286:C286"/>
    <mergeCell ref="A239:C239"/>
    <mergeCell ref="A242:A243"/>
    <mergeCell ref="B242:B243"/>
    <mergeCell ref="A244:A245"/>
    <mergeCell ref="B244:B245"/>
    <mergeCell ref="A246:A247"/>
    <mergeCell ref="B246:B247"/>
    <mergeCell ref="A219:C219"/>
    <mergeCell ref="A226:C226"/>
    <mergeCell ref="A228:A229"/>
    <mergeCell ref="B228:B229"/>
    <mergeCell ref="A232:C232"/>
    <mergeCell ref="A235:C235"/>
    <mergeCell ref="A200:C200"/>
    <mergeCell ref="A198:C198"/>
    <mergeCell ref="A202:C202"/>
    <mergeCell ref="A207:C207"/>
    <mergeCell ref="A208:A209"/>
    <mergeCell ref="B208:B209"/>
    <mergeCell ref="A174:C174"/>
    <mergeCell ref="A178:C178"/>
    <mergeCell ref="A183:C183"/>
    <mergeCell ref="A187:C187"/>
    <mergeCell ref="A192:C192"/>
    <mergeCell ref="A194:C194"/>
    <mergeCell ref="A147:C147"/>
    <mergeCell ref="A149:C149"/>
    <mergeCell ref="A153:C153"/>
    <mergeCell ref="A166:C166"/>
    <mergeCell ref="A167:A168"/>
    <mergeCell ref="B167:B168"/>
    <mergeCell ref="A124:C124"/>
    <mergeCell ref="A129:C129"/>
    <mergeCell ref="A132:C132"/>
    <mergeCell ref="A136:C136"/>
    <mergeCell ref="A139:C139"/>
    <mergeCell ref="A141:A142"/>
    <mergeCell ref="B141:B142"/>
    <mergeCell ref="A110:C110"/>
    <mergeCell ref="A113:C113"/>
    <mergeCell ref="A115:C115"/>
    <mergeCell ref="A117:C117"/>
    <mergeCell ref="A120:C120"/>
    <mergeCell ref="A122:C122"/>
    <mergeCell ref="A94:A95"/>
    <mergeCell ref="B94:B95"/>
    <mergeCell ref="A96:A97"/>
    <mergeCell ref="B96:B97"/>
    <mergeCell ref="A99:C99"/>
    <mergeCell ref="A105:A106"/>
    <mergeCell ref="B105:B106"/>
    <mergeCell ref="A83:A84"/>
    <mergeCell ref="B83:B84"/>
    <mergeCell ref="A86:C86"/>
    <mergeCell ref="A90:C90"/>
    <mergeCell ref="A91:A92"/>
    <mergeCell ref="B91:B92"/>
    <mergeCell ref="A72:C72"/>
    <mergeCell ref="A76:C76"/>
    <mergeCell ref="A81:C81"/>
    <mergeCell ref="A46:C46"/>
    <mergeCell ref="A58:C58"/>
    <mergeCell ref="A56:C56"/>
    <mergeCell ref="B49:B50"/>
    <mergeCell ref="A60:C60"/>
    <mergeCell ref="B66:C66"/>
    <mergeCell ref="A15:C15"/>
    <mergeCell ref="A28:C28"/>
    <mergeCell ref="A35:C35"/>
    <mergeCell ref="A68:C68"/>
    <mergeCell ref="A42:C42"/>
    <mergeCell ref="A49:A50"/>
    <mergeCell ref="A1:I1"/>
    <mergeCell ref="A4:C4"/>
    <mergeCell ref="A7:C7"/>
    <mergeCell ref="A9:C9"/>
    <mergeCell ref="A11:C11"/>
    <mergeCell ref="A13:C13"/>
  </mergeCells>
  <printOptions/>
  <pageMargins left="0.25" right="0.25" top="0.75" bottom="0.75" header="0.3" footer="0.3"/>
  <pageSetup fitToWidth="0" fitToHeight="1" horizontalDpi="600" verticalDpi="600" orientation="landscape" paperSize="9" scale="58" r:id="rId1"/>
  <headerFooter alignWithMargins="0">
    <oddHeader>&amp;C&amp;P</oddHeader>
    <oddFooter>&amp;CСтраница &amp;P</oddFooter>
  </headerFooter>
  <ignoredErrors>
    <ignoredError sqref="G258 G286 G291:G293 G306 G311 G315:G317 G320 G322 G325 G337 G348 G354 G7:G11 H8 H10 G15 G20 G28 G31 I39 G56 G68 G81 G84 G86 G92 G95:G97 G99 G102 G110 G113:G115 H114 G120 G132 G139 G142 G149 G153 G156 G166 G168 G178 G183 G187 G192 G194 G198:G200 H199 G202 G207 G209 G219 G226 G229 G232 G235 G239 G243:G2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1"/>
  <sheetViews>
    <sheetView zoomScalePageLayoutView="0" workbookViewId="0" topLeftCell="A1">
      <pane xSplit="2" ySplit="6" topLeftCell="C2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" sqref="C10"/>
    </sheetView>
  </sheetViews>
  <sheetFormatPr defaultColWidth="9.00390625" defaultRowHeight="12.75"/>
  <cols>
    <col min="1" max="1" width="4.25390625" style="23" customWidth="1"/>
    <col min="2" max="2" width="35.75390625" style="29" customWidth="1"/>
    <col min="3" max="3" width="42.875" style="15" customWidth="1"/>
    <col min="4" max="6" width="5.75390625" style="15" customWidth="1"/>
    <col min="7" max="7" width="5.75390625" style="0" customWidth="1"/>
    <col min="8" max="8" width="10.75390625" style="0" customWidth="1"/>
    <col min="9" max="9" width="28.625" style="0" customWidth="1"/>
    <col min="12" max="12" width="9.625" style="0" customWidth="1"/>
  </cols>
  <sheetData>
    <row r="1" spans="1:9" ht="35.25" customHeight="1" thickBot="1">
      <c r="A1" s="386" t="s">
        <v>329</v>
      </c>
      <c r="B1" s="387"/>
      <c r="C1" s="387"/>
      <c r="D1" s="387"/>
      <c r="E1" s="387"/>
      <c r="F1" s="387"/>
      <c r="G1" s="355"/>
      <c r="H1" s="355"/>
      <c r="I1" s="355"/>
    </row>
    <row r="2" spans="1:12" ht="63.75">
      <c r="A2" s="24" t="s">
        <v>324</v>
      </c>
      <c r="B2" s="26" t="s">
        <v>325</v>
      </c>
      <c r="C2" s="16" t="s">
        <v>326</v>
      </c>
      <c r="D2" s="16" t="s">
        <v>339</v>
      </c>
      <c r="E2" s="16" t="s">
        <v>340</v>
      </c>
      <c r="F2" s="16" t="s">
        <v>342</v>
      </c>
      <c r="G2" s="17" t="s">
        <v>336</v>
      </c>
      <c r="H2" s="17" t="s">
        <v>327</v>
      </c>
      <c r="I2" s="146" t="s">
        <v>328</v>
      </c>
      <c r="J2" s="164" t="s">
        <v>862</v>
      </c>
      <c r="K2" s="164" t="s">
        <v>863</v>
      </c>
      <c r="L2" s="164" t="s">
        <v>864</v>
      </c>
    </row>
    <row r="3" spans="1:12" s="23" customFormat="1" ht="12.75">
      <c r="A3" s="25">
        <v>1</v>
      </c>
      <c r="B3" s="22">
        <v>2</v>
      </c>
      <c r="C3" s="22">
        <v>3</v>
      </c>
      <c r="D3" s="22">
        <v>4</v>
      </c>
      <c r="E3" s="22">
        <v>5</v>
      </c>
      <c r="F3" s="22"/>
      <c r="G3" s="30">
        <v>6</v>
      </c>
      <c r="H3" s="30">
        <v>8</v>
      </c>
      <c r="I3" s="147">
        <v>9</v>
      </c>
      <c r="J3" s="30"/>
      <c r="K3" s="30"/>
      <c r="L3" s="421"/>
    </row>
    <row r="4" spans="1:12" ht="15.75">
      <c r="A4" s="388" t="s">
        <v>0</v>
      </c>
      <c r="B4" s="415"/>
      <c r="C4" s="416"/>
      <c r="D4" s="20"/>
      <c r="E4" s="20"/>
      <c r="F4" s="20"/>
      <c r="G4" s="14"/>
      <c r="H4" s="14"/>
      <c r="I4" s="148"/>
      <c r="J4" s="14"/>
      <c r="K4" s="14"/>
      <c r="L4" s="421"/>
    </row>
    <row r="5" spans="1:12" ht="63">
      <c r="A5" s="32">
        <v>1</v>
      </c>
      <c r="B5" s="33" t="s">
        <v>669</v>
      </c>
      <c r="C5" s="34" t="s">
        <v>679</v>
      </c>
      <c r="D5" s="34">
        <v>4</v>
      </c>
      <c r="E5" s="34">
        <v>5.2</v>
      </c>
      <c r="F5" s="34">
        <v>3.5</v>
      </c>
      <c r="G5" s="35">
        <f>D5*E5</f>
        <v>20.8</v>
      </c>
      <c r="H5" s="36" t="s">
        <v>334</v>
      </c>
      <c r="I5" s="149"/>
      <c r="J5" s="14">
        <v>1</v>
      </c>
      <c r="K5" s="14">
        <v>2</v>
      </c>
      <c r="L5" s="421"/>
    </row>
    <row r="6" spans="1:12" ht="31.5">
      <c r="A6" s="32">
        <v>2</v>
      </c>
      <c r="B6" s="33" t="s">
        <v>670</v>
      </c>
      <c r="C6" s="34" t="s">
        <v>671</v>
      </c>
      <c r="D6" s="34">
        <v>17.7</v>
      </c>
      <c r="E6" s="34">
        <v>2.7</v>
      </c>
      <c r="F6" s="34"/>
      <c r="G6" s="35">
        <f>D6*E6</f>
        <v>47.79</v>
      </c>
      <c r="H6" s="36" t="s">
        <v>332</v>
      </c>
      <c r="I6" s="149" t="s">
        <v>532</v>
      </c>
      <c r="J6" s="14">
        <v>1</v>
      </c>
      <c r="K6" s="14">
        <v>2</v>
      </c>
      <c r="L6" s="14"/>
    </row>
    <row r="7" spans="1:12" ht="15.75">
      <c r="A7" s="388" t="s">
        <v>531</v>
      </c>
      <c r="B7" s="415"/>
      <c r="C7" s="416"/>
      <c r="D7" s="20"/>
      <c r="E7" s="20"/>
      <c r="F7" s="20"/>
      <c r="G7" s="14"/>
      <c r="H7" s="14"/>
      <c r="I7" s="148"/>
      <c r="J7" s="14"/>
      <c r="K7" s="14"/>
      <c r="L7" s="14"/>
    </row>
    <row r="8" spans="1:12" ht="47.25">
      <c r="A8" s="32">
        <v>3</v>
      </c>
      <c r="B8" s="119" t="s">
        <v>3</v>
      </c>
      <c r="C8" s="34" t="s">
        <v>850</v>
      </c>
      <c r="D8" s="34">
        <v>3</v>
      </c>
      <c r="E8" s="34">
        <v>1.5</v>
      </c>
      <c r="F8" s="34">
        <v>2.7</v>
      </c>
      <c r="G8" s="35">
        <f>D8*E8</f>
        <v>4.5</v>
      </c>
      <c r="H8" s="36" t="s">
        <v>332</v>
      </c>
      <c r="I8" s="149" t="s">
        <v>851</v>
      </c>
      <c r="J8" s="14">
        <v>1</v>
      </c>
      <c r="K8" s="14">
        <v>2</v>
      </c>
      <c r="L8" s="14"/>
    </row>
    <row r="9" spans="1:12" ht="15.75">
      <c r="A9" s="388" t="s">
        <v>4</v>
      </c>
      <c r="B9" s="415"/>
      <c r="C9" s="416"/>
      <c r="D9" s="20"/>
      <c r="E9" s="20"/>
      <c r="F9" s="20"/>
      <c r="G9" s="14"/>
      <c r="H9" s="14"/>
      <c r="I9" s="148"/>
      <c r="J9" s="14"/>
      <c r="K9" s="14"/>
      <c r="L9" s="14"/>
    </row>
    <row r="10" spans="1:12" s="77" customFormat="1" ht="64.5">
      <c r="A10" s="72">
        <v>4</v>
      </c>
      <c r="B10" s="73" t="s">
        <v>5</v>
      </c>
      <c r="C10" s="74" t="s">
        <v>486</v>
      </c>
      <c r="D10" s="74">
        <v>4.5</v>
      </c>
      <c r="E10" s="74">
        <v>1.85</v>
      </c>
      <c r="F10" s="74">
        <v>2.75</v>
      </c>
      <c r="G10" s="75">
        <f>D10*E10</f>
        <v>8.325000000000001</v>
      </c>
      <c r="H10" s="76" t="s">
        <v>352</v>
      </c>
      <c r="I10" s="150" t="s">
        <v>413</v>
      </c>
      <c r="J10" s="76">
        <v>1</v>
      </c>
      <c r="K10" s="76"/>
      <c r="L10" s="76"/>
    </row>
    <row r="11" spans="1:12" ht="15.75">
      <c r="A11" s="388" t="s">
        <v>8</v>
      </c>
      <c r="B11" s="415"/>
      <c r="C11" s="416"/>
      <c r="D11" s="20"/>
      <c r="E11" s="20"/>
      <c r="F11" s="20"/>
      <c r="G11" s="14"/>
      <c r="H11" s="14"/>
      <c r="I11" s="148"/>
      <c r="J11" s="14"/>
      <c r="K11" s="14"/>
      <c r="L11" s="14"/>
    </row>
    <row r="12" spans="1:12" ht="63">
      <c r="A12" s="32">
        <v>5</v>
      </c>
      <c r="B12" s="33" t="s">
        <v>9</v>
      </c>
      <c r="C12" s="34" t="s">
        <v>774</v>
      </c>
      <c r="D12" s="34">
        <v>10.6</v>
      </c>
      <c r="E12" s="34">
        <v>4.4</v>
      </c>
      <c r="F12" s="34">
        <v>2.75</v>
      </c>
      <c r="G12" s="35">
        <f>D12*E12</f>
        <v>46.64</v>
      </c>
      <c r="H12" s="36" t="s">
        <v>334</v>
      </c>
      <c r="I12" s="149"/>
      <c r="J12" s="14">
        <v>1</v>
      </c>
      <c r="K12" s="14">
        <v>1</v>
      </c>
      <c r="L12" s="14"/>
    </row>
    <row r="13" spans="1:12" ht="15.75">
      <c r="A13" s="388" t="s">
        <v>10</v>
      </c>
      <c r="B13" s="415"/>
      <c r="C13" s="416"/>
      <c r="D13" s="20"/>
      <c r="E13" s="20"/>
      <c r="F13" s="20"/>
      <c r="G13" s="14"/>
      <c r="H13" s="14"/>
      <c r="I13" s="148"/>
      <c r="J13" s="14"/>
      <c r="K13" s="14"/>
      <c r="L13" s="14"/>
    </row>
    <row r="14" spans="1:12" s="77" customFormat="1" ht="15.75">
      <c r="A14" s="72">
        <v>6</v>
      </c>
      <c r="B14" s="73" t="s">
        <v>11</v>
      </c>
      <c r="C14" s="74" t="s">
        <v>389</v>
      </c>
      <c r="D14" s="74"/>
      <c r="E14" s="74"/>
      <c r="F14" s="74"/>
      <c r="G14" s="76"/>
      <c r="H14" s="76"/>
      <c r="I14" s="150"/>
      <c r="J14" s="76"/>
      <c r="K14" s="76"/>
      <c r="L14" s="76"/>
    </row>
    <row r="15" spans="1:12" ht="15.75">
      <c r="A15" s="388" t="s">
        <v>12</v>
      </c>
      <c r="B15" s="415"/>
      <c r="C15" s="416"/>
      <c r="D15" s="20"/>
      <c r="E15" s="20"/>
      <c r="F15" s="20"/>
      <c r="G15" s="14"/>
      <c r="H15" s="14"/>
      <c r="I15" s="148"/>
      <c r="J15" s="14"/>
      <c r="K15" s="14"/>
      <c r="L15" s="14"/>
    </row>
    <row r="16" spans="1:12" s="37" customFormat="1" ht="63">
      <c r="A16" s="32">
        <v>7</v>
      </c>
      <c r="B16" s="33" t="s">
        <v>432</v>
      </c>
      <c r="C16" s="34" t="s">
        <v>487</v>
      </c>
      <c r="D16" s="34">
        <v>5.4</v>
      </c>
      <c r="E16" s="34">
        <v>1.5</v>
      </c>
      <c r="F16" s="34">
        <v>2.25</v>
      </c>
      <c r="G16" s="35">
        <f>D16*E16</f>
        <v>8.100000000000001</v>
      </c>
      <c r="H16" s="36" t="s">
        <v>332</v>
      </c>
      <c r="I16" s="149" t="s">
        <v>433</v>
      </c>
      <c r="J16" s="36">
        <v>1</v>
      </c>
      <c r="K16" s="36"/>
      <c r="L16" s="36"/>
    </row>
    <row r="17" spans="1:12" s="77" customFormat="1" ht="26.25">
      <c r="A17" s="72">
        <v>8</v>
      </c>
      <c r="B17" s="73" t="s">
        <v>14</v>
      </c>
      <c r="C17" s="74" t="s">
        <v>434</v>
      </c>
      <c r="D17" s="74"/>
      <c r="E17" s="74"/>
      <c r="F17" s="74"/>
      <c r="G17" s="76"/>
      <c r="H17" s="76"/>
      <c r="I17" s="150" t="s">
        <v>435</v>
      </c>
      <c r="J17" s="76">
        <v>1</v>
      </c>
      <c r="K17" s="76">
        <v>2</v>
      </c>
      <c r="L17" s="76"/>
    </row>
    <row r="18" spans="1:12" s="37" customFormat="1" ht="31.5">
      <c r="A18" s="32">
        <v>9</v>
      </c>
      <c r="B18" s="33" t="s">
        <v>15</v>
      </c>
      <c r="C18" s="34" t="s">
        <v>436</v>
      </c>
      <c r="D18" s="34">
        <v>6</v>
      </c>
      <c r="E18" s="34">
        <v>1.5</v>
      </c>
      <c r="F18" s="34"/>
      <c r="G18" s="35">
        <f>D18*E18</f>
        <v>9</v>
      </c>
      <c r="H18" s="36" t="s">
        <v>332</v>
      </c>
      <c r="I18" s="149" t="s">
        <v>532</v>
      </c>
      <c r="J18" s="36">
        <v>1</v>
      </c>
      <c r="K18" s="36">
        <v>2</v>
      </c>
      <c r="L18" s="36"/>
    </row>
    <row r="19" spans="1:12" s="37" customFormat="1" ht="47.25">
      <c r="A19" s="32">
        <v>10</v>
      </c>
      <c r="B19" s="33" t="s">
        <v>16</v>
      </c>
      <c r="C19" s="34" t="s">
        <v>488</v>
      </c>
      <c r="D19" s="34">
        <v>6</v>
      </c>
      <c r="E19" s="34">
        <v>2</v>
      </c>
      <c r="F19" s="34">
        <v>2.9</v>
      </c>
      <c r="G19" s="35">
        <f>D19*E19</f>
        <v>12</v>
      </c>
      <c r="H19" s="36" t="s">
        <v>332</v>
      </c>
      <c r="I19" s="149" t="s">
        <v>437</v>
      </c>
      <c r="J19" s="36">
        <v>1</v>
      </c>
      <c r="K19" s="36">
        <v>2</v>
      </c>
      <c r="L19" s="36"/>
    </row>
    <row r="20" spans="1:12" s="37" customFormat="1" ht="47.25">
      <c r="A20" s="32">
        <v>11</v>
      </c>
      <c r="B20" s="33" t="s">
        <v>17</v>
      </c>
      <c r="C20" s="34" t="s">
        <v>659</v>
      </c>
      <c r="D20" s="34"/>
      <c r="E20" s="34"/>
      <c r="F20" s="34"/>
      <c r="G20" s="36">
        <v>6.6</v>
      </c>
      <c r="H20" s="36" t="s">
        <v>332</v>
      </c>
      <c r="I20" s="149" t="s">
        <v>333</v>
      </c>
      <c r="J20" s="36"/>
      <c r="K20" s="36">
        <v>2</v>
      </c>
      <c r="L20" s="36"/>
    </row>
    <row r="21" spans="1:14" s="77" customFormat="1" ht="51">
      <c r="A21" s="72">
        <v>12</v>
      </c>
      <c r="B21" s="73" t="s">
        <v>18</v>
      </c>
      <c r="C21" s="74" t="s">
        <v>438</v>
      </c>
      <c r="D21" s="74"/>
      <c r="E21" s="74"/>
      <c r="F21" s="74"/>
      <c r="G21" s="76"/>
      <c r="H21" s="76"/>
      <c r="I21" s="150" t="s">
        <v>489</v>
      </c>
      <c r="J21" s="76"/>
      <c r="K21" s="76">
        <v>2</v>
      </c>
      <c r="L21" s="76"/>
      <c r="N21" s="85" t="s">
        <v>861</v>
      </c>
    </row>
    <row r="22" spans="1:12" s="37" customFormat="1" ht="78.75">
      <c r="A22" s="38">
        <v>13</v>
      </c>
      <c r="B22" s="39" t="s">
        <v>440</v>
      </c>
      <c r="C22" s="34" t="s">
        <v>663</v>
      </c>
      <c r="D22" s="34">
        <v>15.5</v>
      </c>
      <c r="E22" s="34">
        <v>2.35</v>
      </c>
      <c r="F22" s="34">
        <v>2.3</v>
      </c>
      <c r="G22" s="35">
        <f>D22*E22+0.9*1.2</f>
        <v>37.505</v>
      </c>
      <c r="H22" s="36" t="s">
        <v>334</v>
      </c>
      <c r="I22" s="149" t="s">
        <v>490</v>
      </c>
      <c r="J22" s="36"/>
      <c r="K22" s="36"/>
      <c r="L22" s="36"/>
    </row>
    <row r="23" spans="1:12" ht="15.75">
      <c r="A23" s="413">
        <v>14</v>
      </c>
      <c r="B23" s="411" t="s">
        <v>441</v>
      </c>
      <c r="C23" s="13" t="s">
        <v>341</v>
      </c>
      <c r="D23" s="13">
        <v>3.03</v>
      </c>
      <c r="E23" s="13">
        <v>2.01</v>
      </c>
      <c r="F23" s="13"/>
      <c r="G23" s="31">
        <f>D23*E23</f>
        <v>6.090299999999999</v>
      </c>
      <c r="H23" s="14" t="s">
        <v>332</v>
      </c>
      <c r="I23" s="148"/>
      <c r="J23" s="14"/>
      <c r="K23" s="14"/>
      <c r="L23" s="14"/>
    </row>
    <row r="24" spans="1:12" s="37" customFormat="1" ht="63">
      <c r="A24" s="414"/>
      <c r="B24" s="412"/>
      <c r="C24" s="34" t="s">
        <v>658</v>
      </c>
      <c r="D24" s="34">
        <v>4.06</v>
      </c>
      <c r="E24" s="34">
        <v>2.14</v>
      </c>
      <c r="F24" s="34"/>
      <c r="G24" s="35">
        <f>D24*E24+3.03*1.1</f>
        <v>12.0214</v>
      </c>
      <c r="H24" s="36" t="s">
        <v>332</v>
      </c>
      <c r="I24" s="149" t="s">
        <v>533</v>
      </c>
      <c r="J24" s="36"/>
      <c r="K24" s="36"/>
      <c r="L24" s="36"/>
    </row>
    <row r="25" spans="1:12" s="47" customFormat="1" ht="78.75">
      <c r="A25" s="48">
        <v>15</v>
      </c>
      <c r="B25" s="49" t="s">
        <v>439</v>
      </c>
      <c r="C25" s="44" t="s">
        <v>662</v>
      </c>
      <c r="D25" s="44">
        <v>7.18</v>
      </c>
      <c r="E25" s="44">
        <v>2.63</v>
      </c>
      <c r="F25" s="44">
        <v>2.3</v>
      </c>
      <c r="G25" s="45">
        <f>D25*E25</f>
        <v>18.883399999999998</v>
      </c>
      <c r="H25" s="46" t="s">
        <v>334</v>
      </c>
      <c r="I25" s="151" t="s">
        <v>442</v>
      </c>
      <c r="J25" s="46"/>
      <c r="K25" s="46"/>
      <c r="L25" s="46"/>
    </row>
    <row r="26" spans="1:12" s="47" customFormat="1" ht="36" customHeight="1">
      <c r="A26" s="42">
        <v>16</v>
      </c>
      <c r="B26" s="43" t="s">
        <v>410</v>
      </c>
      <c r="C26" s="44" t="s">
        <v>411</v>
      </c>
      <c r="D26" s="44">
        <v>11.9</v>
      </c>
      <c r="E26" s="44">
        <v>1.15</v>
      </c>
      <c r="F26" s="44"/>
      <c r="G26" s="45">
        <f>D26*E26</f>
        <v>13.684999999999999</v>
      </c>
      <c r="H26" s="46" t="s">
        <v>332</v>
      </c>
      <c r="I26" s="151" t="s">
        <v>412</v>
      </c>
      <c r="J26" s="46"/>
      <c r="K26" s="46"/>
      <c r="L26" s="46"/>
    </row>
    <row r="27" spans="1:12" s="37" customFormat="1" ht="64.5">
      <c r="A27" s="38">
        <v>17</v>
      </c>
      <c r="B27" s="39" t="s">
        <v>21</v>
      </c>
      <c r="C27" s="34" t="s">
        <v>491</v>
      </c>
      <c r="D27" s="34">
        <v>5.8</v>
      </c>
      <c r="E27" s="34">
        <v>3.2</v>
      </c>
      <c r="F27" s="34">
        <v>2.56</v>
      </c>
      <c r="G27" s="35">
        <f>D27*E27</f>
        <v>18.56</v>
      </c>
      <c r="H27" s="36" t="s">
        <v>332</v>
      </c>
      <c r="I27" s="149" t="s">
        <v>534</v>
      </c>
      <c r="J27" s="36"/>
      <c r="K27" s="36"/>
      <c r="L27" s="36"/>
    </row>
    <row r="28" spans="1:12" s="47" customFormat="1" ht="76.5">
      <c r="A28" s="42">
        <v>18</v>
      </c>
      <c r="B28" s="43" t="s">
        <v>22</v>
      </c>
      <c r="C28" s="44" t="s">
        <v>492</v>
      </c>
      <c r="D28" s="44">
        <v>5.1</v>
      </c>
      <c r="E28" s="44">
        <v>2</v>
      </c>
      <c r="F28" s="44">
        <v>2.3</v>
      </c>
      <c r="G28" s="45">
        <f>D28*E28</f>
        <v>10.2</v>
      </c>
      <c r="H28" s="46" t="s">
        <v>332</v>
      </c>
      <c r="I28" s="151" t="s">
        <v>421</v>
      </c>
      <c r="J28" s="46"/>
      <c r="K28" s="46"/>
      <c r="L28" s="46"/>
    </row>
    <row r="29" spans="1:12" ht="15.75">
      <c r="A29" s="388" t="s">
        <v>32</v>
      </c>
      <c r="B29" s="415"/>
      <c r="C29" s="416"/>
      <c r="D29" s="20"/>
      <c r="E29" s="20"/>
      <c r="F29" s="20"/>
      <c r="G29" s="14"/>
      <c r="H29" s="14"/>
      <c r="I29" s="148"/>
      <c r="J29" s="14"/>
      <c r="K29" s="14"/>
      <c r="L29" s="14"/>
    </row>
    <row r="30" spans="1:12" s="47" customFormat="1" ht="47.25">
      <c r="A30" s="42">
        <v>19</v>
      </c>
      <c r="B30" s="43" t="s">
        <v>33</v>
      </c>
      <c r="C30" s="44" t="s">
        <v>445</v>
      </c>
      <c r="D30" s="44">
        <v>13.3</v>
      </c>
      <c r="E30" s="44">
        <v>2.85</v>
      </c>
      <c r="F30" s="44"/>
      <c r="G30" s="45">
        <f aca="true" t="shared" si="0" ref="G30:G35">D30*E30</f>
        <v>37.905</v>
      </c>
      <c r="H30" s="46" t="s">
        <v>332</v>
      </c>
      <c r="I30" s="151" t="s">
        <v>412</v>
      </c>
      <c r="J30" s="46"/>
      <c r="K30" s="46"/>
      <c r="L30" s="46"/>
    </row>
    <row r="31" spans="1:12" ht="31.5">
      <c r="A31" s="42">
        <v>20</v>
      </c>
      <c r="B31" s="33" t="s">
        <v>34</v>
      </c>
      <c r="C31" s="34" t="s">
        <v>849</v>
      </c>
      <c r="D31" s="34">
        <v>12</v>
      </c>
      <c r="E31" s="34">
        <v>3.5</v>
      </c>
      <c r="F31" s="34"/>
      <c r="G31" s="35">
        <f t="shared" si="0"/>
        <v>42</v>
      </c>
      <c r="H31" s="36" t="s">
        <v>332</v>
      </c>
      <c r="I31" s="149" t="s">
        <v>412</v>
      </c>
      <c r="J31" s="14"/>
      <c r="K31" s="14"/>
      <c r="L31" s="14"/>
    </row>
    <row r="32" spans="1:12" ht="31.5">
      <c r="A32" s="42">
        <v>21</v>
      </c>
      <c r="B32" s="33" t="s">
        <v>35</v>
      </c>
      <c r="C32" s="34" t="s">
        <v>849</v>
      </c>
      <c r="D32" s="34">
        <v>9.5</v>
      </c>
      <c r="E32" s="34">
        <v>1.5</v>
      </c>
      <c r="F32" s="34"/>
      <c r="G32" s="35">
        <f t="shared" si="0"/>
        <v>14.25</v>
      </c>
      <c r="H32" s="36" t="s">
        <v>332</v>
      </c>
      <c r="I32" s="149" t="s">
        <v>412</v>
      </c>
      <c r="J32" s="14"/>
      <c r="K32" s="14"/>
      <c r="L32" s="14"/>
    </row>
    <row r="33" spans="1:12" s="47" customFormat="1" ht="63">
      <c r="A33" s="42">
        <v>22</v>
      </c>
      <c r="B33" s="43" t="s">
        <v>456</v>
      </c>
      <c r="C33" s="44" t="s">
        <v>657</v>
      </c>
      <c r="D33" s="44">
        <v>9.4</v>
      </c>
      <c r="E33" s="44">
        <v>2.9</v>
      </c>
      <c r="F33" s="44">
        <v>3.6</v>
      </c>
      <c r="G33" s="45">
        <f t="shared" si="0"/>
        <v>27.26</v>
      </c>
      <c r="H33" s="46" t="s">
        <v>334</v>
      </c>
      <c r="I33" s="151" t="s">
        <v>457</v>
      </c>
      <c r="J33" s="46"/>
      <c r="K33" s="46"/>
      <c r="L33" s="46"/>
    </row>
    <row r="34" spans="1:12" s="37" customFormat="1" ht="47.25">
      <c r="A34" s="42">
        <v>23</v>
      </c>
      <c r="B34" s="33" t="s">
        <v>37</v>
      </c>
      <c r="C34" s="34" t="s">
        <v>458</v>
      </c>
      <c r="D34" s="34">
        <v>6</v>
      </c>
      <c r="E34" s="34">
        <v>1.5</v>
      </c>
      <c r="F34" s="34"/>
      <c r="G34" s="35">
        <f t="shared" si="0"/>
        <v>9</v>
      </c>
      <c r="H34" s="36" t="s">
        <v>332</v>
      </c>
      <c r="I34" s="149" t="s">
        <v>459</v>
      </c>
      <c r="J34" s="36"/>
      <c r="K34" s="36"/>
      <c r="L34" s="36"/>
    </row>
    <row r="35" spans="1:12" s="37" customFormat="1" ht="47.25">
      <c r="A35" s="42">
        <v>24</v>
      </c>
      <c r="B35" s="33" t="s">
        <v>38</v>
      </c>
      <c r="C35" s="34" t="s">
        <v>458</v>
      </c>
      <c r="D35" s="34">
        <v>6</v>
      </c>
      <c r="E35" s="34">
        <v>1.5</v>
      </c>
      <c r="F35" s="34"/>
      <c r="G35" s="35">
        <f t="shared" si="0"/>
        <v>9</v>
      </c>
      <c r="H35" s="36" t="s">
        <v>332</v>
      </c>
      <c r="I35" s="149" t="s">
        <v>459</v>
      </c>
      <c r="J35" s="36"/>
      <c r="K35" s="36"/>
      <c r="L35" s="36"/>
    </row>
    <row r="36" spans="1:12" ht="15.75">
      <c r="A36" s="388" t="s">
        <v>39</v>
      </c>
      <c r="B36" s="415"/>
      <c r="C36" s="416"/>
      <c r="D36" s="20"/>
      <c r="E36" s="20"/>
      <c r="F36" s="20"/>
      <c r="G36" s="14"/>
      <c r="H36" s="14"/>
      <c r="I36" s="148"/>
      <c r="J36" s="14"/>
      <c r="K36" s="14"/>
      <c r="L36" s="14"/>
    </row>
    <row r="37" spans="1:12" ht="15.75">
      <c r="A37" s="72">
        <v>25</v>
      </c>
      <c r="B37" s="73" t="s">
        <v>40</v>
      </c>
      <c r="C37" s="74" t="s">
        <v>389</v>
      </c>
      <c r="D37" s="74"/>
      <c r="E37" s="74"/>
      <c r="F37" s="74"/>
      <c r="G37" s="76"/>
      <c r="H37" s="76"/>
      <c r="I37" s="150" t="s">
        <v>356</v>
      </c>
      <c r="J37" s="14"/>
      <c r="K37" s="14"/>
      <c r="L37" s="14"/>
    </row>
    <row r="38" spans="1:12" s="77" customFormat="1" ht="31.5">
      <c r="A38" s="72">
        <v>26</v>
      </c>
      <c r="B38" s="73" t="s">
        <v>41</v>
      </c>
      <c r="C38" s="74" t="s">
        <v>848</v>
      </c>
      <c r="D38" s="74">
        <v>9</v>
      </c>
      <c r="E38" s="74">
        <v>1.2</v>
      </c>
      <c r="F38" s="74"/>
      <c r="G38" s="75">
        <f>D38*E38</f>
        <v>10.799999999999999</v>
      </c>
      <c r="H38" s="76" t="s">
        <v>352</v>
      </c>
      <c r="I38" s="150" t="s">
        <v>408</v>
      </c>
      <c r="J38" s="76"/>
      <c r="K38" s="76"/>
      <c r="L38" s="76"/>
    </row>
    <row r="39" spans="1:12" s="77" customFormat="1" ht="15.75">
      <c r="A39" s="72">
        <v>27</v>
      </c>
      <c r="B39" s="73" t="s">
        <v>42</v>
      </c>
      <c r="C39" s="74" t="s">
        <v>389</v>
      </c>
      <c r="D39" s="74"/>
      <c r="E39" s="74"/>
      <c r="F39" s="74"/>
      <c r="G39" s="76"/>
      <c r="H39" s="76"/>
      <c r="I39" s="150" t="s">
        <v>356</v>
      </c>
      <c r="J39" s="76"/>
      <c r="K39" s="76"/>
      <c r="L39" s="76"/>
    </row>
    <row r="40" spans="1:12" ht="39">
      <c r="A40" s="72">
        <v>28</v>
      </c>
      <c r="B40" s="33" t="s">
        <v>43</v>
      </c>
      <c r="C40" s="34" t="s">
        <v>736</v>
      </c>
      <c r="D40" s="34">
        <v>11.8</v>
      </c>
      <c r="E40" s="34">
        <v>1</v>
      </c>
      <c r="F40" s="34"/>
      <c r="G40" s="35">
        <f>D40*E40</f>
        <v>11.8</v>
      </c>
      <c r="H40" s="36" t="s">
        <v>332</v>
      </c>
      <c r="I40" s="149" t="s">
        <v>737</v>
      </c>
      <c r="J40" s="14"/>
      <c r="K40" s="14"/>
      <c r="L40" s="14"/>
    </row>
    <row r="41" spans="1:12" ht="51.75">
      <c r="A41" s="72">
        <v>29</v>
      </c>
      <c r="B41" s="33" t="s">
        <v>44</v>
      </c>
      <c r="C41" s="34" t="s">
        <v>735</v>
      </c>
      <c r="D41" s="34">
        <v>4.7</v>
      </c>
      <c r="E41" s="34">
        <v>1.4</v>
      </c>
      <c r="F41" s="34"/>
      <c r="G41" s="35">
        <f>D41*E41</f>
        <v>6.58</v>
      </c>
      <c r="H41" s="36" t="s">
        <v>332</v>
      </c>
      <c r="I41" s="149" t="s">
        <v>738</v>
      </c>
      <c r="J41" s="14"/>
      <c r="K41" s="14"/>
      <c r="L41" s="14"/>
    </row>
    <row r="42" spans="1:12" ht="15.75">
      <c r="A42" s="72">
        <v>30</v>
      </c>
      <c r="B42" s="33" t="s">
        <v>45</v>
      </c>
      <c r="C42" s="34" t="s">
        <v>389</v>
      </c>
      <c r="D42" s="34"/>
      <c r="E42" s="34"/>
      <c r="F42" s="34"/>
      <c r="G42" s="35"/>
      <c r="H42" s="36"/>
      <c r="I42" s="149" t="s">
        <v>356</v>
      </c>
      <c r="J42" s="14"/>
      <c r="K42" s="14"/>
      <c r="L42" s="14"/>
    </row>
    <row r="43" spans="1:12" ht="15.75">
      <c r="A43" s="388" t="s">
        <v>46</v>
      </c>
      <c r="B43" s="415"/>
      <c r="C43" s="416"/>
      <c r="D43" s="20"/>
      <c r="E43" s="20"/>
      <c r="F43" s="20"/>
      <c r="G43" s="14"/>
      <c r="H43" s="14"/>
      <c r="I43" s="148"/>
      <c r="J43" s="14"/>
      <c r="K43" s="14"/>
      <c r="L43" s="14"/>
    </row>
    <row r="44" spans="1:12" ht="63">
      <c r="A44" s="32">
        <v>31</v>
      </c>
      <c r="B44" s="33" t="s">
        <v>47</v>
      </c>
      <c r="C44" s="34" t="s">
        <v>847</v>
      </c>
      <c r="D44" s="34">
        <v>6</v>
      </c>
      <c r="E44" s="34">
        <v>2.7</v>
      </c>
      <c r="F44" s="34">
        <v>2.5</v>
      </c>
      <c r="G44" s="35">
        <f>D44*E44+0.9*1</f>
        <v>17.1</v>
      </c>
      <c r="H44" s="36" t="s">
        <v>334</v>
      </c>
      <c r="I44" s="149" t="s">
        <v>846</v>
      </c>
      <c r="J44" s="14"/>
      <c r="K44" s="14"/>
      <c r="L44" s="14"/>
    </row>
    <row r="45" spans="1:12" s="47" customFormat="1" ht="47.25">
      <c r="A45" s="32">
        <v>32</v>
      </c>
      <c r="B45" s="43" t="s">
        <v>48</v>
      </c>
      <c r="C45" s="44" t="s">
        <v>560</v>
      </c>
      <c r="D45" s="44">
        <v>5</v>
      </c>
      <c r="E45" s="44">
        <v>1.5</v>
      </c>
      <c r="F45" s="44"/>
      <c r="G45" s="45">
        <f>D45*E45</f>
        <v>7.5</v>
      </c>
      <c r="H45" s="46" t="s">
        <v>332</v>
      </c>
      <c r="I45" s="151" t="s">
        <v>428</v>
      </c>
      <c r="J45" s="46"/>
      <c r="K45" s="46"/>
      <c r="L45" s="46"/>
    </row>
    <row r="46" spans="1:12" s="47" customFormat="1" ht="47.25">
      <c r="A46" s="32">
        <v>33</v>
      </c>
      <c r="B46" s="43" t="s">
        <v>49</v>
      </c>
      <c r="C46" s="44" t="s">
        <v>792</v>
      </c>
      <c r="D46" s="44">
        <v>6.1</v>
      </c>
      <c r="E46" s="44">
        <v>1.5</v>
      </c>
      <c r="F46" s="44"/>
      <c r="G46" s="45">
        <f>D46*E46</f>
        <v>9.149999999999999</v>
      </c>
      <c r="H46" s="46" t="s">
        <v>332</v>
      </c>
      <c r="I46" s="151" t="s">
        <v>427</v>
      </c>
      <c r="J46" s="46"/>
      <c r="K46" s="46"/>
      <c r="L46" s="46"/>
    </row>
    <row r="47" spans="1:12" ht="15.75">
      <c r="A47" s="388" t="s">
        <v>50</v>
      </c>
      <c r="B47" s="415"/>
      <c r="C47" s="416"/>
      <c r="D47" s="20"/>
      <c r="E47" s="20"/>
      <c r="F47" s="20"/>
      <c r="G47" s="14"/>
      <c r="H47" s="14"/>
      <c r="I47" s="148"/>
      <c r="J47" s="14"/>
      <c r="K47" s="14"/>
      <c r="L47" s="14"/>
    </row>
    <row r="48" spans="1:12" ht="63">
      <c r="A48" s="32">
        <v>34</v>
      </c>
      <c r="B48" s="33" t="s">
        <v>844</v>
      </c>
      <c r="C48" s="34" t="s">
        <v>845</v>
      </c>
      <c r="D48" s="34">
        <v>6.05</v>
      </c>
      <c r="E48" s="34">
        <v>2.5</v>
      </c>
      <c r="F48" s="34">
        <v>2.5</v>
      </c>
      <c r="G48" s="35">
        <f>D48*E48+0.9*1</f>
        <v>16.025</v>
      </c>
      <c r="H48" s="36" t="s">
        <v>334</v>
      </c>
      <c r="I48" s="149" t="s">
        <v>846</v>
      </c>
      <c r="J48" s="14"/>
      <c r="K48" s="14"/>
      <c r="L48" s="14"/>
    </row>
    <row r="49" spans="1:12" ht="78.75">
      <c r="A49" s="32">
        <v>35</v>
      </c>
      <c r="B49" s="33" t="s">
        <v>52</v>
      </c>
      <c r="C49" s="34" t="s">
        <v>618</v>
      </c>
      <c r="D49" s="34">
        <v>6.1</v>
      </c>
      <c r="E49" s="34">
        <v>2.4</v>
      </c>
      <c r="F49" s="34">
        <v>2.25</v>
      </c>
      <c r="G49" s="35">
        <f>D49*E49+4.6*1.2</f>
        <v>20.159999999999997</v>
      </c>
      <c r="H49" s="36" t="s">
        <v>334</v>
      </c>
      <c r="I49" s="149" t="s">
        <v>619</v>
      </c>
      <c r="J49" s="14"/>
      <c r="K49" s="14"/>
      <c r="L49" s="14"/>
    </row>
    <row r="50" spans="1:12" ht="15.75">
      <c r="A50" s="413">
        <v>36</v>
      </c>
      <c r="B50" s="411" t="s">
        <v>53</v>
      </c>
      <c r="C50" s="13" t="s">
        <v>241</v>
      </c>
      <c r="D50" s="13">
        <v>8.4</v>
      </c>
      <c r="E50" s="13">
        <v>3.47</v>
      </c>
      <c r="F50" s="13"/>
      <c r="G50" s="31">
        <f>D50*E50-1.5*1.5/2</f>
        <v>28.023000000000003</v>
      </c>
      <c r="H50" s="14"/>
      <c r="I50" s="148"/>
      <c r="J50" s="14"/>
      <c r="K50" s="14"/>
      <c r="L50" s="14"/>
    </row>
    <row r="51" spans="1:12" ht="78.75">
      <c r="A51" s="414"/>
      <c r="B51" s="412"/>
      <c r="C51" s="34" t="s">
        <v>616</v>
      </c>
      <c r="D51" s="34">
        <v>15.2</v>
      </c>
      <c r="E51" s="34">
        <v>4.3</v>
      </c>
      <c r="F51" s="34">
        <v>2.7</v>
      </c>
      <c r="G51" s="35">
        <f>D51*E51-G50+2*1.2+2*0.6</f>
        <v>40.937</v>
      </c>
      <c r="H51" s="36" t="s">
        <v>334</v>
      </c>
      <c r="I51" s="149" t="s">
        <v>617</v>
      </c>
      <c r="J51" s="14"/>
      <c r="K51" s="14"/>
      <c r="L51" s="14"/>
    </row>
    <row r="52" spans="1:12" ht="15.75">
      <c r="A52" s="413">
        <v>37</v>
      </c>
      <c r="B52" s="411" t="s">
        <v>54</v>
      </c>
      <c r="C52" s="13" t="s">
        <v>241</v>
      </c>
      <c r="D52" s="13">
        <v>5.6</v>
      </c>
      <c r="E52" s="13">
        <v>3</v>
      </c>
      <c r="F52" s="13"/>
      <c r="G52" s="14">
        <f>D52*E52</f>
        <v>16.799999999999997</v>
      </c>
      <c r="H52" s="14"/>
      <c r="I52" s="148"/>
      <c r="J52" s="14"/>
      <c r="K52" s="14"/>
      <c r="L52" s="14"/>
    </row>
    <row r="53" spans="1:12" s="37" customFormat="1" ht="64.5">
      <c r="A53" s="414"/>
      <c r="B53" s="412"/>
      <c r="C53" s="34" t="s">
        <v>614</v>
      </c>
      <c r="D53" s="34">
        <v>11.6</v>
      </c>
      <c r="E53" s="34">
        <v>3</v>
      </c>
      <c r="F53" s="34">
        <v>2.8</v>
      </c>
      <c r="G53" s="35">
        <f>D53*E53-G52</f>
        <v>18</v>
      </c>
      <c r="H53" s="36" t="s">
        <v>332</v>
      </c>
      <c r="I53" s="149" t="s">
        <v>615</v>
      </c>
      <c r="J53" s="36"/>
      <c r="K53" s="36"/>
      <c r="L53" s="36"/>
    </row>
    <row r="54" spans="1:12" s="37" customFormat="1" ht="51">
      <c r="A54" s="32">
        <v>38</v>
      </c>
      <c r="B54" s="33" t="s">
        <v>55</v>
      </c>
      <c r="C54" s="44" t="s">
        <v>793</v>
      </c>
      <c r="D54" s="44">
        <v>6.5</v>
      </c>
      <c r="E54" s="44">
        <v>3</v>
      </c>
      <c r="F54" s="44"/>
      <c r="G54" s="45">
        <f>D54*E54</f>
        <v>19.5</v>
      </c>
      <c r="H54" s="46" t="s">
        <v>332</v>
      </c>
      <c r="I54" s="151" t="s">
        <v>613</v>
      </c>
      <c r="J54" s="36"/>
      <c r="K54" s="36"/>
      <c r="L54" s="36"/>
    </row>
    <row r="55" spans="1:12" s="37" customFormat="1" ht="51">
      <c r="A55" s="32">
        <v>39</v>
      </c>
      <c r="B55" s="33" t="s">
        <v>56</v>
      </c>
      <c r="C55" s="44" t="s">
        <v>794</v>
      </c>
      <c r="D55" s="44">
        <v>4</v>
      </c>
      <c r="E55" s="44">
        <v>3</v>
      </c>
      <c r="F55" s="44"/>
      <c r="G55" s="45">
        <f>D55*E55</f>
        <v>12</v>
      </c>
      <c r="H55" s="46" t="s">
        <v>332</v>
      </c>
      <c r="I55" s="151" t="s">
        <v>613</v>
      </c>
      <c r="J55" s="36"/>
      <c r="K55" s="36"/>
      <c r="L55" s="36"/>
    </row>
    <row r="56" spans="1:12" s="37" customFormat="1" ht="63.75">
      <c r="A56" s="32">
        <v>40</v>
      </c>
      <c r="B56" s="33" t="s">
        <v>57</v>
      </c>
      <c r="C56" s="44" t="s">
        <v>664</v>
      </c>
      <c r="D56" s="44">
        <v>9.1</v>
      </c>
      <c r="E56" s="44">
        <v>1.9</v>
      </c>
      <c r="F56" s="44"/>
      <c r="G56" s="45">
        <f>D56*E56</f>
        <v>17.29</v>
      </c>
      <c r="H56" s="46" t="s">
        <v>332</v>
      </c>
      <c r="I56" s="151" t="s">
        <v>612</v>
      </c>
      <c r="J56" s="36"/>
      <c r="K56" s="36"/>
      <c r="L56" s="36"/>
    </row>
    <row r="57" spans="1:12" s="37" customFormat="1" ht="63.75">
      <c r="A57" s="32">
        <v>41</v>
      </c>
      <c r="B57" s="33" t="s">
        <v>58</v>
      </c>
      <c r="C57" s="44" t="s">
        <v>623</v>
      </c>
      <c r="D57" s="44">
        <v>11.4</v>
      </c>
      <c r="E57" s="44">
        <v>1.2</v>
      </c>
      <c r="F57" s="44"/>
      <c r="G57" s="45">
        <f>D57*E57+3.6*1.8+1.2*2.8</f>
        <v>23.52</v>
      </c>
      <c r="H57" s="46" t="s">
        <v>332</v>
      </c>
      <c r="I57" s="151" t="s">
        <v>611</v>
      </c>
      <c r="J57" s="36"/>
      <c r="K57" s="36"/>
      <c r="L57" s="36"/>
    </row>
    <row r="58" spans="1:12" ht="15.75">
      <c r="A58" s="388" t="s">
        <v>59</v>
      </c>
      <c r="B58" s="415"/>
      <c r="C58" s="416"/>
      <c r="D58" s="20"/>
      <c r="E58" s="20"/>
      <c r="F58" s="20"/>
      <c r="G58" s="14"/>
      <c r="H58" s="14"/>
      <c r="I58" s="148"/>
      <c r="J58" s="14"/>
      <c r="K58" s="14"/>
      <c r="L58" s="14"/>
    </row>
    <row r="59" spans="1:12" s="77" customFormat="1" ht="15.75">
      <c r="A59" s="72">
        <v>42</v>
      </c>
      <c r="B59" s="73" t="s">
        <v>60</v>
      </c>
      <c r="C59" s="74" t="s">
        <v>389</v>
      </c>
      <c r="D59" s="74"/>
      <c r="E59" s="74"/>
      <c r="F59" s="74"/>
      <c r="G59" s="76"/>
      <c r="H59" s="76"/>
      <c r="I59" s="150"/>
      <c r="J59" s="76"/>
      <c r="K59" s="76"/>
      <c r="L59" s="76"/>
    </row>
    <row r="60" spans="1:12" s="71" customFormat="1" ht="15.75">
      <c r="A60" s="68"/>
      <c r="B60" s="401" t="s">
        <v>722</v>
      </c>
      <c r="C60" s="325"/>
      <c r="D60" s="69"/>
      <c r="E60" s="69"/>
      <c r="F60" s="69"/>
      <c r="G60" s="70"/>
      <c r="H60" s="70"/>
      <c r="I60" s="152"/>
      <c r="J60" s="70"/>
      <c r="K60" s="70"/>
      <c r="L60" s="70"/>
    </row>
    <row r="61" spans="1:12" s="77" customFormat="1" ht="47.25">
      <c r="A61" s="72">
        <v>43</v>
      </c>
      <c r="B61" s="73" t="s">
        <v>357</v>
      </c>
      <c r="C61" s="74" t="s">
        <v>723</v>
      </c>
      <c r="D61" s="74">
        <v>5.6</v>
      </c>
      <c r="E61" s="74">
        <v>2.7</v>
      </c>
      <c r="F61" s="74">
        <v>2.25</v>
      </c>
      <c r="G61" s="75">
        <f>D61*E61</f>
        <v>15.12</v>
      </c>
      <c r="H61" s="76" t="s">
        <v>352</v>
      </c>
      <c r="I61" s="153" t="s">
        <v>356</v>
      </c>
      <c r="J61" s="76"/>
      <c r="K61" s="76"/>
      <c r="L61" s="76"/>
    </row>
    <row r="62" spans="1:12" s="81" customFormat="1" ht="31.5">
      <c r="A62" s="72">
        <v>44</v>
      </c>
      <c r="B62" s="78" t="s">
        <v>724</v>
      </c>
      <c r="C62" s="79" t="s">
        <v>725</v>
      </c>
      <c r="D62" s="79"/>
      <c r="E62" s="79"/>
      <c r="F62" s="79"/>
      <c r="G62" s="80"/>
      <c r="H62" s="80"/>
      <c r="I62" s="153" t="s">
        <v>356</v>
      </c>
      <c r="J62" s="80"/>
      <c r="K62" s="80"/>
      <c r="L62" s="80"/>
    </row>
    <row r="63" spans="1:12" s="81" customFormat="1" ht="47.25">
      <c r="A63" s="72">
        <v>45</v>
      </c>
      <c r="B63" s="78" t="s">
        <v>360</v>
      </c>
      <c r="C63" s="74" t="s">
        <v>726</v>
      </c>
      <c r="D63" s="74">
        <v>6</v>
      </c>
      <c r="E63" s="74">
        <v>3</v>
      </c>
      <c r="F63" s="74">
        <v>2.3</v>
      </c>
      <c r="G63" s="75">
        <f>D63*E63</f>
        <v>18</v>
      </c>
      <c r="H63" s="76" t="s">
        <v>352</v>
      </c>
      <c r="I63" s="153" t="s">
        <v>356</v>
      </c>
      <c r="J63" s="80"/>
      <c r="K63" s="80"/>
      <c r="L63" s="80"/>
    </row>
    <row r="64" spans="1:12" s="81" customFormat="1" ht="31.5">
      <c r="A64" s="72">
        <v>46</v>
      </c>
      <c r="B64" s="78" t="s">
        <v>728</v>
      </c>
      <c r="C64" s="79" t="s">
        <v>725</v>
      </c>
      <c r="D64" s="79"/>
      <c r="E64" s="79"/>
      <c r="F64" s="79"/>
      <c r="G64" s="80"/>
      <c r="H64" s="80"/>
      <c r="I64" s="153" t="s">
        <v>356</v>
      </c>
      <c r="J64" s="80"/>
      <c r="K64" s="80"/>
      <c r="L64" s="80"/>
    </row>
    <row r="65" spans="1:12" ht="63">
      <c r="A65" s="72">
        <v>47</v>
      </c>
      <c r="B65" s="33" t="s">
        <v>729</v>
      </c>
      <c r="C65" s="34" t="s">
        <v>730</v>
      </c>
      <c r="D65" s="34">
        <v>6.2</v>
      </c>
      <c r="E65" s="34">
        <v>3</v>
      </c>
      <c r="F65" s="34">
        <v>2.75</v>
      </c>
      <c r="G65" s="35">
        <f>D65*E65</f>
        <v>18.6</v>
      </c>
      <c r="H65" s="36" t="s">
        <v>332</v>
      </c>
      <c r="I65" s="149" t="s">
        <v>731</v>
      </c>
      <c r="J65" s="14"/>
      <c r="K65" s="14"/>
      <c r="L65" s="14"/>
    </row>
    <row r="66" spans="1:12" s="86" customFormat="1" ht="15.75">
      <c r="A66" s="82"/>
      <c r="B66" s="403" t="s">
        <v>727</v>
      </c>
      <c r="C66" s="325"/>
      <c r="D66" s="83"/>
      <c r="E66" s="83"/>
      <c r="F66" s="83"/>
      <c r="G66" s="84"/>
      <c r="H66" s="70"/>
      <c r="I66" s="154"/>
      <c r="J66" s="145"/>
      <c r="K66" s="145"/>
      <c r="L66" s="145"/>
    </row>
    <row r="67" spans="1:12" s="77" customFormat="1" ht="15.75">
      <c r="A67" s="72">
        <v>48</v>
      </c>
      <c r="B67" s="73" t="s">
        <v>720</v>
      </c>
      <c r="C67" s="74" t="s">
        <v>721</v>
      </c>
      <c r="D67" s="74"/>
      <c r="E67" s="74"/>
      <c r="F67" s="74"/>
      <c r="G67" s="76"/>
      <c r="H67" s="76"/>
      <c r="I67" s="150"/>
      <c r="J67" s="76"/>
      <c r="K67" s="76"/>
      <c r="L67" s="76"/>
    </row>
    <row r="68" spans="1:12" ht="15.75">
      <c r="A68" s="388" t="s">
        <v>61</v>
      </c>
      <c r="B68" s="415"/>
      <c r="C68" s="416"/>
      <c r="D68" s="20"/>
      <c r="E68" s="20"/>
      <c r="F68" s="20"/>
      <c r="G68" s="14"/>
      <c r="H68" s="14"/>
      <c r="I68" s="148"/>
      <c r="J68" s="14"/>
      <c r="K68" s="14"/>
      <c r="L68" s="14"/>
    </row>
    <row r="69" spans="1:12" s="77" customFormat="1" ht="63">
      <c r="A69" s="72">
        <v>49</v>
      </c>
      <c r="B69" s="73" t="s">
        <v>62</v>
      </c>
      <c r="C69" s="74" t="s">
        <v>667</v>
      </c>
      <c r="D69" s="74">
        <v>6.7</v>
      </c>
      <c r="E69" s="74">
        <v>2.8</v>
      </c>
      <c r="F69" s="74">
        <v>2.35</v>
      </c>
      <c r="G69" s="75">
        <f>D69*E69</f>
        <v>18.759999999999998</v>
      </c>
      <c r="H69" s="76" t="s">
        <v>352</v>
      </c>
      <c r="I69" s="150" t="s">
        <v>668</v>
      </c>
      <c r="J69" s="76"/>
      <c r="K69" s="76"/>
      <c r="L69" s="76"/>
    </row>
    <row r="70" spans="1:12" s="77" customFormat="1" ht="15.75">
      <c r="A70" s="72">
        <v>50</v>
      </c>
      <c r="B70" s="73" t="s">
        <v>63</v>
      </c>
      <c r="C70" s="74" t="s">
        <v>389</v>
      </c>
      <c r="D70" s="74"/>
      <c r="E70" s="74"/>
      <c r="F70" s="74"/>
      <c r="G70" s="76"/>
      <c r="H70" s="76"/>
      <c r="I70" s="150"/>
      <c r="J70" s="76"/>
      <c r="K70" s="76"/>
      <c r="L70" s="76"/>
    </row>
    <row r="71" spans="1:12" ht="47.25">
      <c r="A71" s="72">
        <v>51</v>
      </c>
      <c r="B71" s="33" t="s">
        <v>64</v>
      </c>
      <c r="C71" s="44" t="s">
        <v>665</v>
      </c>
      <c r="D71" s="44">
        <v>10.5</v>
      </c>
      <c r="E71" s="44">
        <v>4</v>
      </c>
      <c r="F71" s="44">
        <v>2.7</v>
      </c>
      <c r="G71" s="45">
        <f>D71*E71</f>
        <v>42</v>
      </c>
      <c r="H71" s="46" t="s">
        <v>332</v>
      </c>
      <c r="I71" s="151" t="s">
        <v>666</v>
      </c>
      <c r="J71" s="14"/>
      <c r="K71" s="14"/>
      <c r="L71" s="14"/>
    </row>
    <row r="72" spans="1:12" ht="15.75">
      <c r="A72" s="388" t="s">
        <v>65</v>
      </c>
      <c r="B72" s="415"/>
      <c r="C72" s="416"/>
      <c r="D72" s="20"/>
      <c r="E72" s="20"/>
      <c r="F72" s="20"/>
      <c r="G72" s="14"/>
      <c r="H72" s="14"/>
      <c r="I72" s="148"/>
      <c r="J72" s="14"/>
      <c r="K72" s="14"/>
      <c r="L72" s="14"/>
    </row>
    <row r="73" spans="1:12" ht="51.75">
      <c r="A73" s="32">
        <v>52</v>
      </c>
      <c r="B73" s="33" t="s">
        <v>229</v>
      </c>
      <c r="C73" s="34" t="s">
        <v>674</v>
      </c>
      <c r="D73" s="34">
        <v>12</v>
      </c>
      <c r="E73" s="34">
        <v>1.5</v>
      </c>
      <c r="F73" s="34"/>
      <c r="G73" s="35">
        <f>D73*E73</f>
        <v>18</v>
      </c>
      <c r="H73" s="36" t="s">
        <v>332</v>
      </c>
      <c r="I73" s="149" t="s">
        <v>675</v>
      </c>
      <c r="J73" s="14"/>
      <c r="K73" s="14"/>
      <c r="L73" s="14"/>
    </row>
    <row r="74" spans="1:12" ht="63">
      <c r="A74" s="32">
        <v>53</v>
      </c>
      <c r="B74" s="33" t="s">
        <v>676</v>
      </c>
      <c r="C74" s="34" t="s">
        <v>677</v>
      </c>
      <c r="D74" s="34">
        <v>5.75</v>
      </c>
      <c r="E74" s="34">
        <v>2.4</v>
      </c>
      <c r="F74" s="34">
        <v>2.4</v>
      </c>
      <c r="G74" s="35">
        <f>D74*E74</f>
        <v>13.799999999999999</v>
      </c>
      <c r="H74" s="36" t="s">
        <v>332</v>
      </c>
      <c r="I74" s="149" t="s">
        <v>678</v>
      </c>
      <c r="J74" s="14"/>
      <c r="K74" s="14"/>
      <c r="L74" s="14"/>
    </row>
    <row r="75" spans="1:12" ht="63">
      <c r="A75" s="32">
        <v>54</v>
      </c>
      <c r="B75" s="33" t="s">
        <v>67</v>
      </c>
      <c r="C75" s="34" t="s">
        <v>672</v>
      </c>
      <c r="D75" s="34">
        <v>6.62</v>
      </c>
      <c r="E75" s="34">
        <v>2</v>
      </c>
      <c r="F75" s="34">
        <v>2.5</v>
      </c>
      <c r="G75" s="35">
        <f>D75*E75+6*2</f>
        <v>25.240000000000002</v>
      </c>
      <c r="H75" s="36" t="s">
        <v>332</v>
      </c>
      <c r="I75" s="149" t="s">
        <v>673</v>
      </c>
      <c r="J75" s="14"/>
      <c r="K75" s="14"/>
      <c r="L75" s="14"/>
    </row>
    <row r="76" spans="1:12" ht="15.75">
      <c r="A76" s="388" t="s">
        <v>322</v>
      </c>
      <c r="B76" s="415"/>
      <c r="C76" s="416"/>
      <c r="D76" s="20"/>
      <c r="E76" s="20"/>
      <c r="F76" s="20"/>
      <c r="G76" s="14"/>
      <c r="H76" s="14"/>
      <c r="I76" s="148"/>
      <c r="J76" s="14"/>
      <c r="K76" s="14"/>
      <c r="L76" s="14"/>
    </row>
    <row r="77" spans="1:12" s="37" customFormat="1" ht="77.25">
      <c r="A77" s="38">
        <v>55</v>
      </c>
      <c r="B77" s="39" t="s">
        <v>380</v>
      </c>
      <c r="C77" s="34" t="s">
        <v>493</v>
      </c>
      <c r="D77" s="34">
        <v>5.8</v>
      </c>
      <c r="E77" s="34">
        <v>1.3</v>
      </c>
      <c r="F77" s="34">
        <v>2.48</v>
      </c>
      <c r="G77" s="35">
        <f>D77*E77+3.9*1.65</f>
        <v>13.975</v>
      </c>
      <c r="H77" s="36" t="s">
        <v>332</v>
      </c>
      <c r="I77" s="149" t="s">
        <v>535</v>
      </c>
      <c r="J77" s="36"/>
      <c r="K77" s="36"/>
      <c r="L77" s="36"/>
    </row>
    <row r="78" spans="1:12" s="37" customFormat="1" ht="47.25">
      <c r="A78" s="50">
        <v>56</v>
      </c>
      <c r="B78" s="39" t="s">
        <v>381</v>
      </c>
      <c r="C78" s="34" t="s">
        <v>536</v>
      </c>
      <c r="D78" s="34">
        <v>12.2</v>
      </c>
      <c r="E78" s="34">
        <v>2.9</v>
      </c>
      <c r="F78" s="34">
        <v>2.54</v>
      </c>
      <c r="G78" s="35">
        <f>D78*E78</f>
        <v>35.379999999999995</v>
      </c>
      <c r="H78" s="36" t="s">
        <v>332</v>
      </c>
      <c r="I78" s="149" t="s">
        <v>382</v>
      </c>
      <c r="J78" s="36"/>
      <c r="K78" s="36"/>
      <c r="L78" s="36"/>
    </row>
    <row r="79" spans="1:12" s="47" customFormat="1" ht="47.25">
      <c r="A79" s="42">
        <v>57</v>
      </c>
      <c r="B79" s="43" t="s">
        <v>383</v>
      </c>
      <c r="C79" s="44" t="s">
        <v>494</v>
      </c>
      <c r="D79" s="44">
        <v>10.9</v>
      </c>
      <c r="E79" s="44">
        <v>3.6</v>
      </c>
      <c r="F79" s="44">
        <v>2.55</v>
      </c>
      <c r="G79" s="45">
        <f>D79*E79</f>
        <v>39.24</v>
      </c>
      <c r="H79" s="46" t="s">
        <v>332</v>
      </c>
      <c r="I79" s="151" t="s">
        <v>384</v>
      </c>
      <c r="J79" s="46"/>
      <c r="K79" s="46"/>
      <c r="L79" s="46"/>
    </row>
    <row r="80" spans="1:12" ht="15.75">
      <c r="A80" s="388" t="s">
        <v>69</v>
      </c>
      <c r="B80" s="415"/>
      <c r="C80" s="416"/>
      <c r="D80" s="20"/>
      <c r="E80" s="20"/>
      <c r="F80" s="20"/>
      <c r="G80" s="14"/>
      <c r="H80" s="14"/>
      <c r="I80" s="148"/>
      <c r="J80" s="14"/>
      <c r="K80" s="14"/>
      <c r="L80" s="14"/>
    </row>
    <row r="81" spans="1:12" s="54" customFormat="1" ht="67.5" customHeight="1">
      <c r="A81" s="53">
        <v>59</v>
      </c>
      <c r="B81" s="51" t="s">
        <v>403</v>
      </c>
      <c r="C81" s="43" t="s">
        <v>495</v>
      </c>
      <c r="D81" s="43">
        <v>15.9</v>
      </c>
      <c r="E81" s="43">
        <v>2.86</v>
      </c>
      <c r="F81" s="43">
        <v>2.38</v>
      </c>
      <c r="G81" s="52">
        <f>D81*E81</f>
        <v>45.474</v>
      </c>
      <c r="H81" s="53" t="s">
        <v>334</v>
      </c>
      <c r="I81" s="155" t="s">
        <v>402</v>
      </c>
      <c r="J81" s="53"/>
      <c r="K81" s="53"/>
      <c r="L81" s="53"/>
    </row>
    <row r="82" spans="1:12" ht="15.75">
      <c r="A82" s="428">
        <v>60</v>
      </c>
      <c r="B82" s="411" t="s">
        <v>71</v>
      </c>
      <c r="C82" s="13" t="s">
        <v>241</v>
      </c>
      <c r="D82" s="13">
        <v>3.01</v>
      </c>
      <c r="E82" s="13">
        <v>2.3</v>
      </c>
      <c r="F82" s="13"/>
      <c r="G82" s="31">
        <f>D82*E82</f>
        <v>6.922999999999999</v>
      </c>
      <c r="H82" s="14" t="s">
        <v>332</v>
      </c>
      <c r="I82" s="148"/>
      <c r="J82" s="14"/>
      <c r="K82" s="14"/>
      <c r="L82" s="14"/>
    </row>
    <row r="83" spans="1:12" s="37" customFormat="1" ht="63">
      <c r="A83" s="429"/>
      <c r="B83" s="412"/>
      <c r="C83" s="34" t="s">
        <v>660</v>
      </c>
      <c r="D83" s="34">
        <v>9.66</v>
      </c>
      <c r="E83" s="34">
        <v>3.5</v>
      </c>
      <c r="F83" s="34">
        <v>2.56</v>
      </c>
      <c r="G83" s="35">
        <f>D83*E83-G82</f>
        <v>26.887000000000004</v>
      </c>
      <c r="H83" s="36" t="s">
        <v>332</v>
      </c>
      <c r="I83" s="149" t="s">
        <v>537</v>
      </c>
      <c r="J83" s="36"/>
      <c r="K83" s="36"/>
      <c r="L83" s="36"/>
    </row>
    <row r="84" spans="1:12" ht="63">
      <c r="A84" s="66">
        <v>61</v>
      </c>
      <c r="B84" s="64" t="s">
        <v>72</v>
      </c>
      <c r="C84" s="34" t="s">
        <v>795</v>
      </c>
      <c r="D84" s="34">
        <v>12.8</v>
      </c>
      <c r="E84" s="34">
        <v>2.65</v>
      </c>
      <c r="F84" s="34">
        <v>2.8</v>
      </c>
      <c r="G84" s="35">
        <f>D84*E84</f>
        <v>33.92</v>
      </c>
      <c r="H84" s="36" t="s">
        <v>332</v>
      </c>
      <c r="I84" s="149" t="s">
        <v>796</v>
      </c>
      <c r="J84" s="14"/>
      <c r="K84" s="14"/>
      <c r="L84" s="14"/>
    </row>
    <row r="85" spans="1:12" ht="15.75">
      <c r="A85" s="388" t="s">
        <v>764</v>
      </c>
      <c r="B85" s="415"/>
      <c r="C85" s="416"/>
      <c r="D85" s="20"/>
      <c r="E85" s="20"/>
      <c r="F85" s="20"/>
      <c r="G85" s="14"/>
      <c r="H85" s="14"/>
      <c r="I85" s="148"/>
      <c r="J85" s="14"/>
      <c r="K85" s="14"/>
      <c r="L85" s="14"/>
    </row>
    <row r="86" spans="1:12" ht="63">
      <c r="A86" s="32">
        <v>62</v>
      </c>
      <c r="B86" s="33" t="s">
        <v>771</v>
      </c>
      <c r="C86" s="34" t="s">
        <v>772</v>
      </c>
      <c r="D86" s="34">
        <v>5</v>
      </c>
      <c r="E86" s="34">
        <v>2.4</v>
      </c>
      <c r="F86" s="34">
        <v>3.05</v>
      </c>
      <c r="G86" s="35">
        <f>D86*E86</f>
        <v>12</v>
      </c>
      <c r="H86" s="36" t="s">
        <v>334</v>
      </c>
      <c r="I86" s="149" t="s">
        <v>773</v>
      </c>
      <c r="J86" s="14"/>
      <c r="K86" s="14"/>
      <c r="L86" s="14"/>
    </row>
    <row r="87" spans="1:12" s="37" customFormat="1" ht="47.25">
      <c r="A87" s="32">
        <v>63</v>
      </c>
      <c r="B87" s="33" t="s">
        <v>765</v>
      </c>
      <c r="C87" s="34" t="s">
        <v>766</v>
      </c>
      <c r="D87" s="34">
        <v>9.7</v>
      </c>
      <c r="E87" s="34">
        <v>3.1</v>
      </c>
      <c r="F87" s="34">
        <v>3.35</v>
      </c>
      <c r="G87" s="35">
        <f>D87*E87</f>
        <v>30.07</v>
      </c>
      <c r="H87" s="36" t="s">
        <v>332</v>
      </c>
      <c r="I87" s="149" t="s">
        <v>767</v>
      </c>
      <c r="J87" s="36"/>
      <c r="K87" s="36"/>
      <c r="L87" s="36"/>
    </row>
    <row r="88" spans="1:12" ht="63">
      <c r="A88" s="32">
        <v>64</v>
      </c>
      <c r="B88" s="33" t="s">
        <v>770</v>
      </c>
      <c r="C88" s="34" t="s">
        <v>768</v>
      </c>
      <c r="D88" s="34">
        <v>12.6</v>
      </c>
      <c r="E88" s="34">
        <v>2.2</v>
      </c>
      <c r="F88" s="34">
        <v>2.5</v>
      </c>
      <c r="G88" s="35">
        <f>D88*E88-1.7*6.5/2</f>
        <v>22.195000000000004</v>
      </c>
      <c r="H88" s="36" t="s">
        <v>332</v>
      </c>
      <c r="I88" s="149" t="s">
        <v>769</v>
      </c>
      <c r="J88" s="14"/>
      <c r="K88" s="14"/>
      <c r="L88" s="14"/>
    </row>
    <row r="89" spans="1:12" ht="15.75">
      <c r="A89" s="388" t="s">
        <v>76</v>
      </c>
      <c r="B89" s="415"/>
      <c r="C89" s="416"/>
      <c r="D89" s="20"/>
      <c r="E89" s="20"/>
      <c r="F89" s="20"/>
      <c r="G89" s="14"/>
      <c r="H89" s="14"/>
      <c r="I89" s="148"/>
      <c r="J89" s="14"/>
      <c r="K89" s="14"/>
      <c r="L89" s="14"/>
    </row>
    <row r="90" spans="1:12" ht="15.75">
      <c r="A90" s="413">
        <v>65</v>
      </c>
      <c r="B90" s="411" t="s">
        <v>242</v>
      </c>
      <c r="C90" s="13" t="s">
        <v>341</v>
      </c>
      <c r="D90" s="13">
        <v>5.1</v>
      </c>
      <c r="E90" s="13">
        <v>3.1</v>
      </c>
      <c r="F90" s="13"/>
      <c r="G90" s="31">
        <f>D90*E90</f>
        <v>15.809999999999999</v>
      </c>
      <c r="H90" s="14" t="s">
        <v>334</v>
      </c>
      <c r="I90" s="148"/>
      <c r="J90" s="14"/>
      <c r="K90" s="14"/>
      <c r="L90" s="14"/>
    </row>
    <row r="91" spans="1:12" s="37" customFormat="1" ht="78.75">
      <c r="A91" s="414"/>
      <c r="B91" s="412"/>
      <c r="C91" s="34" t="s">
        <v>496</v>
      </c>
      <c r="D91" s="34">
        <v>11.3</v>
      </c>
      <c r="E91" s="34">
        <v>5.9</v>
      </c>
      <c r="F91" s="34">
        <v>2.6</v>
      </c>
      <c r="G91" s="35">
        <f>D91*E91-G90</f>
        <v>50.86</v>
      </c>
      <c r="H91" s="36" t="s">
        <v>334</v>
      </c>
      <c r="I91" s="149" t="s">
        <v>343</v>
      </c>
      <c r="J91" s="36"/>
      <c r="K91" s="36"/>
      <c r="L91" s="36"/>
    </row>
    <row r="92" spans="1:12" ht="15.75">
      <c r="A92" s="417">
        <v>66</v>
      </c>
      <c r="B92" s="411" t="s">
        <v>337</v>
      </c>
      <c r="C92" s="13" t="s">
        <v>341</v>
      </c>
      <c r="D92" s="13">
        <v>5.57</v>
      </c>
      <c r="E92" s="13">
        <v>3.78</v>
      </c>
      <c r="F92" s="13"/>
      <c r="G92" s="31">
        <f>D92*E92</f>
        <v>21.0546</v>
      </c>
      <c r="H92" s="14" t="s">
        <v>334</v>
      </c>
      <c r="I92" s="148"/>
      <c r="J92" s="14"/>
      <c r="K92" s="14"/>
      <c r="L92" s="14"/>
    </row>
    <row r="93" spans="1:12" s="37" customFormat="1" ht="78.75">
      <c r="A93" s="418"/>
      <c r="B93" s="412"/>
      <c r="C93" s="34" t="s">
        <v>661</v>
      </c>
      <c r="D93" s="34">
        <v>17.8</v>
      </c>
      <c r="E93" s="34">
        <v>3.6</v>
      </c>
      <c r="F93" s="34">
        <v>3.7</v>
      </c>
      <c r="G93" s="35">
        <f>D93*E93-G92+9.7*1.33</f>
        <v>55.9264</v>
      </c>
      <c r="H93" s="36" t="s">
        <v>332</v>
      </c>
      <c r="I93" s="149" t="s">
        <v>497</v>
      </c>
      <c r="J93" s="36"/>
      <c r="K93" s="36"/>
      <c r="L93" s="36"/>
    </row>
    <row r="94" spans="1:12" ht="15.75">
      <c r="A94" s="419">
        <v>67</v>
      </c>
      <c r="B94" s="411" t="s">
        <v>338</v>
      </c>
      <c r="C94" s="13" t="s">
        <v>241</v>
      </c>
      <c r="D94" s="13">
        <v>3.2</v>
      </c>
      <c r="E94" s="13">
        <v>3.2</v>
      </c>
      <c r="F94" s="13"/>
      <c r="G94" s="31">
        <f>D94*E94-(0.85*0.85)/2</f>
        <v>9.878750000000002</v>
      </c>
      <c r="H94" s="14" t="s">
        <v>332</v>
      </c>
      <c r="I94" s="148"/>
      <c r="J94" s="14"/>
      <c r="K94" s="14"/>
      <c r="L94" s="14"/>
    </row>
    <row r="95" spans="1:12" s="37" customFormat="1" ht="63">
      <c r="A95" s="420"/>
      <c r="B95" s="412"/>
      <c r="C95" s="34" t="s">
        <v>498</v>
      </c>
      <c r="D95" s="34">
        <v>18.4</v>
      </c>
      <c r="E95" s="34">
        <v>3.24</v>
      </c>
      <c r="F95" s="34">
        <v>2.55</v>
      </c>
      <c r="G95" s="35">
        <f>D95*E95-G94</f>
        <v>49.737249999999996</v>
      </c>
      <c r="H95" s="36" t="s">
        <v>332</v>
      </c>
      <c r="I95" s="149" t="s">
        <v>499</v>
      </c>
      <c r="J95" s="36"/>
      <c r="K95" s="36"/>
      <c r="L95" s="36"/>
    </row>
    <row r="96" spans="1:12" ht="15.75">
      <c r="A96" s="417">
        <v>68</v>
      </c>
      <c r="B96" s="411" t="s">
        <v>245</v>
      </c>
      <c r="C96" s="13" t="s">
        <v>241</v>
      </c>
      <c r="D96" s="13">
        <v>6.4</v>
      </c>
      <c r="E96" s="13">
        <v>4.35</v>
      </c>
      <c r="F96" s="13"/>
      <c r="G96" s="31">
        <f>D96*E96-(1.15*1.1)/2*2</f>
        <v>26.575</v>
      </c>
      <c r="H96" s="14" t="s">
        <v>334</v>
      </c>
      <c r="I96" s="148"/>
      <c r="J96" s="14"/>
      <c r="K96" s="14"/>
      <c r="L96" s="14"/>
    </row>
    <row r="97" spans="1:12" s="37" customFormat="1" ht="63">
      <c r="A97" s="418"/>
      <c r="B97" s="412"/>
      <c r="C97" s="34" t="s">
        <v>500</v>
      </c>
      <c r="D97" s="34">
        <v>18.4</v>
      </c>
      <c r="E97" s="34">
        <v>3.24</v>
      </c>
      <c r="F97" s="34">
        <v>2.55</v>
      </c>
      <c r="G97" s="35">
        <f>D97*E97-G96</f>
        <v>33.041</v>
      </c>
      <c r="H97" s="36" t="s">
        <v>332</v>
      </c>
      <c r="I97" s="149" t="s">
        <v>501</v>
      </c>
      <c r="J97" s="36"/>
      <c r="K97" s="36"/>
      <c r="L97" s="36"/>
    </row>
    <row r="98" spans="1:12" s="37" customFormat="1" ht="78.75">
      <c r="A98" s="62">
        <v>69</v>
      </c>
      <c r="B98" s="63" t="s">
        <v>344</v>
      </c>
      <c r="C98" s="34" t="s">
        <v>620</v>
      </c>
      <c r="D98" s="34">
        <v>6.4</v>
      </c>
      <c r="E98" s="34">
        <v>1.6</v>
      </c>
      <c r="F98" s="34">
        <v>2.55</v>
      </c>
      <c r="G98" s="35">
        <f>D98*E98+0.85*0.85/2</f>
        <v>10.601250000000002</v>
      </c>
      <c r="H98" s="36" t="s">
        <v>334</v>
      </c>
      <c r="I98" s="149" t="s">
        <v>345</v>
      </c>
      <c r="J98" s="36"/>
      <c r="K98" s="36"/>
      <c r="L98" s="36"/>
    </row>
    <row r="99" spans="1:12" ht="15.75">
      <c r="A99" s="388" t="s">
        <v>78</v>
      </c>
      <c r="B99" s="415"/>
      <c r="C99" s="416"/>
      <c r="D99" s="20"/>
      <c r="E99" s="20"/>
      <c r="F99" s="20"/>
      <c r="G99" s="14"/>
      <c r="H99" s="14"/>
      <c r="I99" s="156"/>
      <c r="J99" s="14"/>
      <c r="K99" s="14"/>
      <c r="L99" s="14"/>
    </row>
    <row r="100" spans="1:12" ht="63">
      <c r="A100" s="32">
        <v>70</v>
      </c>
      <c r="B100" s="33" t="s">
        <v>79</v>
      </c>
      <c r="C100" s="44" t="s">
        <v>624</v>
      </c>
      <c r="D100" s="44">
        <v>8.8</v>
      </c>
      <c r="E100" s="44">
        <v>2.8</v>
      </c>
      <c r="F100" s="44"/>
      <c r="G100" s="45">
        <f>D100*E100+3.3*1.2</f>
        <v>28.6</v>
      </c>
      <c r="H100" s="46" t="s">
        <v>332</v>
      </c>
      <c r="I100" s="151" t="s">
        <v>428</v>
      </c>
      <c r="J100" s="14"/>
      <c r="K100" s="14"/>
      <c r="L100" s="14"/>
    </row>
    <row r="101" spans="1:12" ht="63">
      <c r="A101" s="32">
        <v>71</v>
      </c>
      <c r="B101" s="33" t="s">
        <v>80</v>
      </c>
      <c r="C101" s="34" t="s">
        <v>621</v>
      </c>
      <c r="D101" s="34">
        <v>17.4</v>
      </c>
      <c r="E101" s="34">
        <v>3.1</v>
      </c>
      <c r="F101" s="34">
        <v>2.8</v>
      </c>
      <c r="G101" s="35">
        <f>D101*E101</f>
        <v>53.94</v>
      </c>
      <c r="H101" s="36" t="s">
        <v>334</v>
      </c>
      <c r="I101" s="149" t="s">
        <v>622</v>
      </c>
      <c r="J101" s="14"/>
      <c r="K101" s="14"/>
      <c r="L101" s="14"/>
    </row>
    <row r="102" spans="1:12" ht="63.75">
      <c r="A102" s="32">
        <v>72</v>
      </c>
      <c r="B102" s="33" t="s">
        <v>81</v>
      </c>
      <c r="C102" s="44" t="s">
        <v>625</v>
      </c>
      <c r="D102" s="44">
        <v>15.9</v>
      </c>
      <c r="E102" s="44">
        <v>2.3</v>
      </c>
      <c r="F102" s="44"/>
      <c r="G102" s="45">
        <f>D102*E102+2*0.6</f>
        <v>37.77</v>
      </c>
      <c r="H102" s="46" t="s">
        <v>332</v>
      </c>
      <c r="I102" s="151" t="s">
        <v>612</v>
      </c>
      <c r="J102" s="14"/>
      <c r="K102" s="14"/>
      <c r="L102" s="14"/>
    </row>
    <row r="103" spans="1:12" ht="78.75">
      <c r="A103" s="32">
        <v>73</v>
      </c>
      <c r="B103" s="33" t="s">
        <v>54</v>
      </c>
      <c r="C103" s="34" t="s">
        <v>635</v>
      </c>
      <c r="D103" s="34">
        <v>15.4</v>
      </c>
      <c r="E103" s="34">
        <v>3.1</v>
      </c>
      <c r="F103" s="34">
        <v>2.8</v>
      </c>
      <c r="G103" s="35">
        <f>D103*E103</f>
        <v>47.74</v>
      </c>
      <c r="H103" s="36" t="s">
        <v>334</v>
      </c>
      <c r="I103" s="149" t="s">
        <v>636</v>
      </c>
      <c r="J103" s="14"/>
      <c r="K103" s="14"/>
      <c r="L103" s="14"/>
    </row>
    <row r="104" spans="1:12" s="67" customFormat="1" ht="78.75">
      <c r="A104" s="42">
        <v>74</v>
      </c>
      <c r="B104" s="43" t="s">
        <v>797</v>
      </c>
      <c r="C104" s="44" t="s">
        <v>799</v>
      </c>
      <c r="D104" s="44">
        <v>10.9</v>
      </c>
      <c r="E104" s="44">
        <v>2.7</v>
      </c>
      <c r="F104" s="44">
        <v>2.8</v>
      </c>
      <c r="G104" s="45">
        <f>D104*E104+5.5*0.9+3.75*1.2</f>
        <v>38.88</v>
      </c>
      <c r="H104" s="46" t="s">
        <v>334</v>
      </c>
      <c r="I104" s="151" t="s">
        <v>402</v>
      </c>
      <c r="J104" s="165"/>
      <c r="K104" s="165"/>
      <c r="L104" s="165"/>
    </row>
    <row r="105" spans="1:12" ht="15.75">
      <c r="A105" s="413">
        <v>75</v>
      </c>
      <c r="B105" s="411" t="s">
        <v>82</v>
      </c>
      <c r="C105" s="13" t="s">
        <v>631</v>
      </c>
      <c r="D105" s="13">
        <v>4</v>
      </c>
      <c r="E105" s="13">
        <v>1.9</v>
      </c>
      <c r="F105" s="13"/>
      <c r="G105" s="14">
        <f>D105*E105*2</f>
        <v>15.2</v>
      </c>
      <c r="H105" s="14"/>
      <c r="I105" s="156"/>
      <c r="J105" s="14"/>
      <c r="K105" s="14"/>
      <c r="L105" s="14"/>
    </row>
    <row r="106" spans="1:12" ht="78.75">
      <c r="A106" s="414"/>
      <c r="B106" s="412"/>
      <c r="C106" s="34" t="s">
        <v>632</v>
      </c>
      <c r="D106" s="34">
        <v>20.5</v>
      </c>
      <c r="E106" s="34">
        <v>5.3</v>
      </c>
      <c r="F106" s="34">
        <v>2.8</v>
      </c>
      <c r="G106" s="35">
        <f>D106*E106-G105+1.3*1.2</f>
        <v>95.00999999999999</v>
      </c>
      <c r="H106" s="36" t="s">
        <v>334</v>
      </c>
      <c r="I106" s="149" t="s">
        <v>633</v>
      </c>
      <c r="J106" s="14"/>
      <c r="K106" s="14"/>
      <c r="L106" s="14"/>
    </row>
    <row r="107" spans="1:12" ht="78.75">
      <c r="A107" s="65">
        <v>76</v>
      </c>
      <c r="B107" s="64" t="s">
        <v>83</v>
      </c>
      <c r="C107" s="44" t="s">
        <v>798</v>
      </c>
      <c r="D107" s="44">
        <v>9.7</v>
      </c>
      <c r="E107" s="44">
        <v>2.7</v>
      </c>
      <c r="F107" s="44">
        <v>2.8</v>
      </c>
      <c r="G107" s="45">
        <f>D107*E107+5.5*0.6+2.5*1.2</f>
        <v>32.49</v>
      </c>
      <c r="H107" s="46" t="s">
        <v>334</v>
      </c>
      <c r="I107" s="151" t="s">
        <v>402</v>
      </c>
      <c r="J107" s="14"/>
      <c r="K107" s="14"/>
      <c r="L107" s="14"/>
    </row>
    <row r="108" spans="1:12" ht="63">
      <c r="A108" s="32">
        <v>77</v>
      </c>
      <c r="B108" s="33" t="s">
        <v>84</v>
      </c>
      <c r="C108" s="34" t="s">
        <v>630</v>
      </c>
      <c r="D108" s="34">
        <v>9.1</v>
      </c>
      <c r="E108" s="34">
        <v>2.7</v>
      </c>
      <c r="F108" s="34">
        <v>2.6</v>
      </c>
      <c r="G108" s="35">
        <f>D108*E108+3.1*1.2+4.5*0.4</f>
        <v>30.09</v>
      </c>
      <c r="H108" s="36" t="s">
        <v>334</v>
      </c>
      <c r="I108" s="149" t="s">
        <v>634</v>
      </c>
      <c r="J108" s="14"/>
      <c r="K108" s="14"/>
      <c r="L108" s="14"/>
    </row>
    <row r="109" spans="1:12" ht="63">
      <c r="A109" s="32">
        <v>78</v>
      </c>
      <c r="B109" s="33" t="s">
        <v>85</v>
      </c>
      <c r="C109" s="34" t="s">
        <v>800</v>
      </c>
      <c r="D109" s="34">
        <v>6</v>
      </c>
      <c r="E109" s="34">
        <v>2.7</v>
      </c>
      <c r="F109" s="34">
        <v>2.6</v>
      </c>
      <c r="G109" s="35">
        <f>D109*E109</f>
        <v>16.200000000000003</v>
      </c>
      <c r="H109" s="36" t="s">
        <v>334</v>
      </c>
      <c r="I109" s="149" t="s">
        <v>801</v>
      </c>
      <c r="J109" s="14"/>
      <c r="K109" s="14"/>
      <c r="L109" s="14"/>
    </row>
    <row r="110" spans="1:12" ht="15.75">
      <c r="A110" s="388" t="s">
        <v>86</v>
      </c>
      <c r="B110" s="415"/>
      <c r="C110" s="416"/>
      <c r="D110" s="20"/>
      <c r="E110" s="20"/>
      <c r="F110" s="20"/>
      <c r="G110" s="14"/>
      <c r="H110" s="14"/>
      <c r="I110" s="156"/>
      <c r="J110" s="14"/>
      <c r="K110" s="14"/>
      <c r="L110" s="14"/>
    </row>
    <row r="111" spans="1:12" ht="39">
      <c r="A111" s="32">
        <v>79</v>
      </c>
      <c r="B111" s="33" t="s">
        <v>802</v>
      </c>
      <c r="C111" s="34" t="s">
        <v>803</v>
      </c>
      <c r="D111" s="34">
        <v>6.5</v>
      </c>
      <c r="E111" s="34">
        <v>1.8</v>
      </c>
      <c r="F111" s="34"/>
      <c r="G111" s="35">
        <f>D111*E111</f>
        <v>11.700000000000001</v>
      </c>
      <c r="H111" s="36" t="s">
        <v>332</v>
      </c>
      <c r="I111" s="149" t="s">
        <v>804</v>
      </c>
      <c r="J111" s="14"/>
      <c r="K111" s="14"/>
      <c r="L111" s="14"/>
    </row>
    <row r="112" spans="1:12" ht="47.25">
      <c r="A112" s="32">
        <v>80</v>
      </c>
      <c r="B112" s="33" t="s">
        <v>87</v>
      </c>
      <c r="C112" s="34" t="s">
        <v>805</v>
      </c>
      <c r="D112" s="34">
        <v>8.7</v>
      </c>
      <c r="E112" s="34">
        <v>3</v>
      </c>
      <c r="F112" s="34">
        <v>2.75</v>
      </c>
      <c r="G112" s="35">
        <f>D112*E112</f>
        <v>26.099999999999998</v>
      </c>
      <c r="H112" s="36" t="s">
        <v>334</v>
      </c>
      <c r="I112" s="149" t="s">
        <v>806</v>
      </c>
      <c r="J112" s="14"/>
      <c r="K112" s="14"/>
      <c r="L112" s="14"/>
    </row>
    <row r="113" spans="1:12" ht="15.75">
      <c r="A113" s="388" t="s">
        <v>88</v>
      </c>
      <c r="B113" s="415"/>
      <c r="C113" s="416"/>
      <c r="D113" s="20"/>
      <c r="E113" s="20"/>
      <c r="F113" s="20"/>
      <c r="G113" s="14"/>
      <c r="H113" s="14"/>
      <c r="I113" s="156"/>
      <c r="J113" s="14"/>
      <c r="K113" s="14"/>
      <c r="L113" s="14"/>
    </row>
    <row r="114" spans="1:12" s="77" customFormat="1" ht="31.5">
      <c r="A114" s="72">
        <v>81</v>
      </c>
      <c r="B114" s="73" t="s">
        <v>695</v>
      </c>
      <c r="C114" s="74" t="s">
        <v>696</v>
      </c>
      <c r="D114" s="74">
        <v>6</v>
      </c>
      <c r="E114" s="74">
        <v>1.5</v>
      </c>
      <c r="F114" s="74"/>
      <c r="G114" s="75">
        <f>D114*E114</f>
        <v>9</v>
      </c>
      <c r="H114" s="76" t="s">
        <v>352</v>
      </c>
      <c r="I114" s="150" t="s">
        <v>464</v>
      </c>
      <c r="J114" s="76"/>
      <c r="K114" s="76"/>
      <c r="L114" s="76"/>
    </row>
    <row r="115" spans="1:12" ht="15.75">
      <c r="A115" s="388" t="s">
        <v>365</v>
      </c>
      <c r="B115" s="415"/>
      <c r="C115" s="416"/>
      <c r="D115" s="20"/>
      <c r="E115" s="20"/>
      <c r="F115" s="20"/>
      <c r="G115" s="14"/>
      <c r="H115" s="14"/>
      <c r="I115" s="156"/>
      <c r="J115" s="14"/>
      <c r="K115" s="14"/>
      <c r="L115" s="14"/>
    </row>
    <row r="116" spans="1:12" s="77" customFormat="1" ht="47.25">
      <c r="A116" s="72">
        <v>82</v>
      </c>
      <c r="B116" s="73" t="s">
        <v>366</v>
      </c>
      <c r="C116" s="74" t="s">
        <v>502</v>
      </c>
      <c r="D116" s="74">
        <v>3.9</v>
      </c>
      <c r="E116" s="74">
        <v>2.85</v>
      </c>
      <c r="F116" s="74">
        <v>2.48</v>
      </c>
      <c r="G116" s="75">
        <f>D116*E116</f>
        <v>11.115</v>
      </c>
      <c r="H116" s="76" t="s">
        <v>363</v>
      </c>
      <c r="I116" s="150" t="s">
        <v>367</v>
      </c>
      <c r="J116" s="76"/>
      <c r="K116" s="76"/>
      <c r="L116" s="76"/>
    </row>
    <row r="117" spans="1:12" ht="15.75">
      <c r="A117" s="388" t="s">
        <v>89</v>
      </c>
      <c r="B117" s="415"/>
      <c r="C117" s="416"/>
      <c r="D117" s="20"/>
      <c r="E117" s="20"/>
      <c r="F117" s="20"/>
      <c r="G117" s="14"/>
      <c r="H117" s="14"/>
      <c r="I117" s="156"/>
      <c r="J117" s="14"/>
      <c r="K117" s="14"/>
      <c r="L117" s="14"/>
    </row>
    <row r="118" spans="1:12" s="77" customFormat="1" ht="15.75">
      <c r="A118" s="72">
        <v>83</v>
      </c>
      <c r="B118" s="73" t="s">
        <v>90</v>
      </c>
      <c r="C118" s="74" t="s">
        <v>376</v>
      </c>
      <c r="D118" s="74"/>
      <c r="E118" s="74"/>
      <c r="F118" s="74"/>
      <c r="G118" s="76"/>
      <c r="H118" s="76"/>
      <c r="I118" s="157" t="s">
        <v>356</v>
      </c>
      <c r="J118" s="76"/>
      <c r="K118" s="76"/>
      <c r="L118" s="76"/>
    </row>
    <row r="119" spans="1:12" s="77" customFormat="1" ht="15.75">
      <c r="A119" s="72">
        <v>84</v>
      </c>
      <c r="B119" s="73" t="s">
        <v>91</v>
      </c>
      <c r="C119" s="74" t="s">
        <v>376</v>
      </c>
      <c r="D119" s="74"/>
      <c r="E119" s="74"/>
      <c r="F119" s="74"/>
      <c r="G119" s="76"/>
      <c r="H119" s="76"/>
      <c r="I119" s="157" t="s">
        <v>356</v>
      </c>
      <c r="J119" s="76"/>
      <c r="K119" s="76"/>
      <c r="L119" s="76"/>
    </row>
    <row r="120" spans="1:12" ht="15.75">
      <c r="A120" s="388" t="s">
        <v>361</v>
      </c>
      <c r="B120" s="415"/>
      <c r="C120" s="416"/>
      <c r="D120" s="20"/>
      <c r="E120" s="20"/>
      <c r="F120" s="20"/>
      <c r="G120" s="14"/>
      <c r="H120" s="14"/>
      <c r="I120" s="156"/>
      <c r="J120" s="14"/>
      <c r="K120" s="14"/>
      <c r="L120" s="14"/>
    </row>
    <row r="121" spans="1:12" s="77" customFormat="1" ht="47.25">
      <c r="A121" s="72">
        <v>85</v>
      </c>
      <c r="B121" s="73" t="s">
        <v>362</v>
      </c>
      <c r="C121" s="74" t="s">
        <v>503</v>
      </c>
      <c r="D121" s="74">
        <v>4.1</v>
      </c>
      <c r="E121" s="74">
        <v>2.2</v>
      </c>
      <c r="F121" s="74">
        <v>2.2</v>
      </c>
      <c r="G121" s="75">
        <f>D121*E121</f>
        <v>9.02</v>
      </c>
      <c r="H121" s="76" t="s">
        <v>363</v>
      </c>
      <c r="I121" s="150" t="s">
        <v>364</v>
      </c>
      <c r="J121" s="76"/>
      <c r="K121" s="76"/>
      <c r="L121" s="76"/>
    </row>
    <row r="122" spans="1:12" ht="15.75">
      <c r="A122" s="388" t="s">
        <v>92</v>
      </c>
      <c r="B122" s="415"/>
      <c r="C122" s="416"/>
      <c r="D122" s="20"/>
      <c r="E122" s="20"/>
      <c r="F122" s="20"/>
      <c r="G122" s="14"/>
      <c r="H122" s="14"/>
      <c r="I122" s="156"/>
      <c r="J122" s="14"/>
      <c r="K122" s="14"/>
      <c r="L122" s="14"/>
    </row>
    <row r="123" spans="1:12" s="77" customFormat="1" ht="15.75">
      <c r="A123" s="72">
        <v>86</v>
      </c>
      <c r="B123" s="73" t="s">
        <v>93</v>
      </c>
      <c r="C123" s="74" t="s">
        <v>389</v>
      </c>
      <c r="D123" s="74"/>
      <c r="E123" s="74"/>
      <c r="F123" s="74"/>
      <c r="G123" s="76"/>
      <c r="H123" s="76"/>
      <c r="I123" s="157"/>
      <c r="J123" s="76"/>
      <c r="K123" s="76"/>
      <c r="L123" s="76"/>
    </row>
    <row r="124" spans="1:12" ht="15.75">
      <c r="A124" s="388" t="s">
        <v>122</v>
      </c>
      <c r="B124" s="415"/>
      <c r="C124" s="416"/>
      <c r="D124" s="20"/>
      <c r="E124" s="20"/>
      <c r="F124" s="20"/>
      <c r="G124" s="14"/>
      <c r="H124" s="14"/>
      <c r="I124" s="156"/>
      <c r="J124" s="14"/>
      <c r="K124" s="14"/>
      <c r="L124" s="14"/>
    </row>
    <row r="125" spans="1:12" s="47" customFormat="1" ht="63.75">
      <c r="A125" s="42">
        <v>87</v>
      </c>
      <c r="B125" s="43" t="s">
        <v>123</v>
      </c>
      <c r="C125" s="44" t="s">
        <v>563</v>
      </c>
      <c r="D125" s="44">
        <v>6.04</v>
      </c>
      <c r="E125" s="44">
        <v>3</v>
      </c>
      <c r="F125" s="44"/>
      <c r="G125" s="45">
        <f>D125*E125</f>
        <v>18.12</v>
      </c>
      <c r="H125" s="46"/>
      <c r="I125" s="151" t="s">
        <v>415</v>
      </c>
      <c r="J125" s="46"/>
      <c r="K125" s="46"/>
      <c r="L125" s="46"/>
    </row>
    <row r="126" spans="1:12" s="47" customFormat="1" ht="68.25" customHeight="1">
      <c r="A126" s="42">
        <v>88</v>
      </c>
      <c r="B126" s="43" t="s">
        <v>124</v>
      </c>
      <c r="C126" s="44" t="s">
        <v>562</v>
      </c>
      <c r="D126" s="44">
        <v>6</v>
      </c>
      <c r="E126" s="44">
        <v>3</v>
      </c>
      <c r="F126" s="44"/>
      <c r="G126" s="45">
        <f>D126*E126</f>
        <v>18</v>
      </c>
      <c r="H126" s="46"/>
      <c r="I126" s="151" t="s">
        <v>538</v>
      </c>
      <c r="J126" s="46"/>
      <c r="K126" s="46"/>
      <c r="L126" s="46"/>
    </row>
    <row r="127" spans="1:12" s="47" customFormat="1" ht="89.25">
      <c r="A127" s="48">
        <v>89</v>
      </c>
      <c r="B127" s="49" t="s">
        <v>125</v>
      </c>
      <c r="C127" s="44" t="s">
        <v>504</v>
      </c>
      <c r="D127" s="44">
        <v>7.65</v>
      </c>
      <c r="E127" s="44">
        <v>2.15</v>
      </c>
      <c r="F127" s="44">
        <v>2.45</v>
      </c>
      <c r="G127" s="45">
        <f>D127*E127</f>
        <v>16.4475</v>
      </c>
      <c r="H127" s="46" t="s">
        <v>332</v>
      </c>
      <c r="I127" s="151" t="s">
        <v>505</v>
      </c>
      <c r="J127" s="46"/>
      <c r="K127" s="46"/>
      <c r="L127" s="46"/>
    </row>
    <row r="128" spans="1:12" s="77" customFormat="1" ht="15.75">
      <c r="A128" s="72">
        <v>90</v>
      </c>
      <c r="B128" s="73" t="s">
        <v>126</v>
      </c>
      <c r="C128" s="74" t="s">
        <v>414</v>
      </c>
      <c r="D128" s="74">
        <v>12</v>
      </c>
      <c r="E128" s="74">
        <v>1.5</v>
      </c>
      <c r="F128" s="74"/>
      <c r="G128" s="75">
        <f>D128*E128</f>
        <v>18</v>
      </c>
      <c r="H128" s="76" t="s">
        <v>363</v>
      </c>
      <c r="I128" s="150" t="s">
        <v>408</v>
      </c>
      <c r="J128" s="76"/>
      <c r="K128" s="76"/>
      <c r="L128" s="76"/>
    </row>
    <row r="129" spans="1:12" ht="15.75">
      <c r="A129" s="388" t="s">
        <v>127</v>
      </c>
      <c r="B129" s="415"/>
      <c r="C129" s="416"/>
      <c r="D129" s="20"/>
      <c r="E129" s="20"/>
      <c r="F129" s="20"/>
      <c r="G129" s="14"/>
      <c r="H129" s="14"/>
      <c r="I129" s="156"/>
      <c r="J129" s="14"/>
      <c r="K129" s="14"/>
      <c r="L129" s="14"/>
    </row>
    <row r="130" spans="1:12" s="77" customFormat="1" ht="15.75">
      <c r="A130" s="72">
        <v>91</v>
      </c>
      <c r="B130" s="73" t="s">
        <v>128</v>
      </c>
      <c r="C130" s="74" t="s">
        <v>389</v>
      </c>
      <c r="D130" s="74"/>
      <c r="E130" s="74"/>
      <c r="F130" s="74"/>
      <c r="G130" s="76"/>
      <c r="H130" s="76"/>
      <c r="I130" s="157" t="s">
        <v>356</v>
      </c>
      <c r="J130" s="76"/>
      <c r="K130" s="76"/>
      <c r="L130" s="76"/>
    </row>
    <row r="131" spans="1:12" s="77" customFormat="1" ht="15.75">
      <c r="A131" s="72">
        <v>92</v>
      </c>
      <c r="B131" s="73" t="s">
        <v>129</v>
      </c>
      <c r="C131" s="74" t="s">
        <v>389</v>
      </c>
      <c r="D131" s="74"/>
      <c r="E131" s="74"/>
      <c r="F131" s="74"/>
      <c r="G131" s="76"/>
      <c r="H131" s="76"/>
      <c r="I131" s="157" t="s">
        <v>356</v>
      </c>
      <c r="J131" s="76"/>
      <c r="K131" s="76"/>
      <c r="L131" s="76"/>
    </row>
    <row r="132" spans="1:12" ht="15.75">
      <c r="A132" s="388" t="s">
        <v>130</v>
      </c>
      <c r="B132" s="415"/>
      <c r="C132" s="416"/>
      <c r="D132" s="20"/>
      <c r="E132" s="20"/>
      <c r="F132" s="20"/>
      <c r="G132" s="14"/>
      <c r="H132" s="14"/>
      <c r="I132" s="156"/>
      <c r="J132" s="14"/>
      <c r="K132" s="14"/>
      <c r="L132" s="14"/>
    </row>
    <row r="133" spans="1:12" ht="26.25">
      <c r="A133" s="32">
        <v>93</v>
      </c>
      <c r="B133" s="33" t="s">
        <v>131</v>
      </c>
      <c r="C133" s="34" t="s">
        <v>744</v>
      </c>
      <c r="D133" s="34">
        <v>12</v>
      </c>
      <c r="E133" s="34">
        <v>1</v>
      </c>
      <c r="F133" s="34"/>
      <c r="G133" s="35">
        <f>D133*E133</f>
        <v>12</v>
      </c>
      <c r="H133" s="36" t="s">
        <v>352</v>
      </c>
      <c r="I133" s="149" t="s">
        <v>745</v>
      </c>
      <c r="J133" s="14"/>
      <c r="K133" s="14"/>
      <c r="L133" s="14"/>
    </row>
    <row r="134" spans="1:12" s="77" customFormat="1" ht="15.75">
      <c r="A134" s="72">
        <v>94</v>
      </c>
      <c r="B134" s="73" t="s">
        <v>41</v>
      </c>
      <c r="C134" s="74" t="s">
        <v>389</v>
      </c>
      <c r="D134" s="74"/>
      <c r="E134" s="74"/>
      <c r="F134" s="74"/>
      <c r="G134" s="76"/>
      <c r="H134" s="76"/>
      <c r="I134" s="157" t="s">
        <v>356</v>
      </c>
      <c r="J134" s="76"/>
      <c r="K134" s="76"/>
      <c r="L134" s="76"/>
    </row>
    <row r="135" spans="1:12" ht="63">
      <c r="A135" s="32">
        <v>95</v>
      </c>
      <c r="B135" s="33" t="s">
        <v>746</v>
      </c>
      <c r="C135" s="34" t="s">
        <v>733</v>
      </c>
      <c r="D135" s="34">
        <v>6.6</v>
      </c>
      <c r="E135" s="34">
        <v>5.08</v>
      </c>
      <c r="F135" s="34">
        <v>2.3</v>
      </c>
      <c r="G135" s="35">
        <f>D135*E135-2.5*2.5/2</f>
        <v>30.403</v>
      </c>
      <c r="H135" s="36" t="s">
        <v>334</v>
      </c>
      <c r="I135" s="149" t="s">
        <v>734</v>
      </c>
      <c r="J135" s="14"/>
      <c r="K135" s="14"/>
      <c r="L135" s="14"/>
    </row>
    <row r="136" spans="1:12" ht="15.75">
      <c r="A136" s="388" t="s">
        <v>637</v>
      </c>
      <c r="B136" s="415"/>
      <c r="C136" s="416"/>
      <c r="D136" s="20"/>
      <c r="E136" s="20"/>
      <c r="F136" s="20"/>
      <c r="G136" s="14"/>
      <c r="H136" s="14"/>
      <c r="I136" s="156"/>
      <c r="J136" s="14"/>
      <c r="K136" s="14"/>
      <c r="L136" s="14"/>
    </row>
    <row r="137" spans="1:12" ht="38.25">
      <c r="A137" s="32">
        <v>96</v>
      </c>
      <c r="B137" s="33" t="s">
        <v>94</v>
      </c>
      <c r="C137" s="44" t="s">
        <v>638</v>
      </c>
      <c r="D137" s="44">
        <v>6</v>
      </c>
      <c r="E137" s="44">
        <v>1.5</v>
      </c>
      <c r="F137" s="44"/>
      <c r="G137" s="45">
        <f>D137*E137</f>
        <v>9</v>
      </c>
      <c r="H137" s="46"/>
      <c r="I137" s="151" t="s">
        <v>639</v>
      </c>
      <c r="J137" s="14"/>
      <c r="K137" s="14"/>
      <c r="L137" s="14"/>
    </row>
    <row r="138" spans="1:12" ht="38.25">
      <c r="A138" s="32">
        <v>97</v>
      </c>
      <c r="B138" s="33" t="s">
        <v>95</v>
      </c>
      <c r="C138" s="44" t="s">
        <v>638</v>
      </c>
      <c r="D138" s="44">
        <v>6</v>
      </c>
      <c r="E138" s="44">
        <v>1.4</v>
      </c>
      <c r="F138" s="44"/>
      <c r="G138" s="45">
        <f>D138*E138</f>
        <v>8.399999999999999</v>
      </c>
      <c r="H138" s="46"/>
      <c r="I138" s="151" t="s">
        <v>639</v>
      </c>
      <c r="J138" s="14"/>
      <c r="K138" s="14"/>
      <c r="L138" s="14"/>
    </row>
    <row r="139" spans="1:12" ht="15.75">
      <c r="A139" s="388" t="s">
        <v>132</v>
      </c>
      <c r="B139" s="415"/>
      <c r="C139" s="416"/>
      <c r="D139" s="20"/>
      <c r="E139" s="20"/>
      <c r="F139" s="20"/>
      <c r="G139" s="14"/>
      <c r="H139" s="14"/>
      <c r="I139" s="156"/>
      <c r="J139" s="14"/>
      <c r="K139" s="14"/>
      <c r="L139" s="14"/>
    </row>
    <row r="140" spans="1:12" s="77" customFormat="1" ht="63">
      <c r="A140" s="72">
        <v>98</v>
      </c>
      <c r="B140" s="73" t="s">
        <v>133</v>
      </c>
      <c r="C140" s="74" t="s">
        <v>506</v>
      </c>
      <c r="D140" s="74">
        <v>6</v>
      </c>
      <c r="E140" s="74">
        <v>2.6</v>
      </c>
      <c r="F140" s="74">
        <v>2.9</v>
      </c>
      <c r="G140" s="75">
        <f>D140*E140+1.1*1.3*2</f>
        <v>18.46</v>
      </c>
      <c r="H140" s="76" t="s">
        <v>363</v>
      </c>
      <c r="I140" s="150" t="s">
        <v>539</v>
      </c>
      <c r="J140" s="76"/>
      <c r="K140" s="76"/>
      <c r="L140" s="76"/>
    </row>
    <row r="141" spans="1:12" ht="15.75">
      <c r="A141" s="413">
        <v>99</v>
      </c>
      <c r="B141" s="411" t="s">
        <v>134</v>
      </c>
      <c r="C141" s="13" t="s">
        <v>420</v>
      </c>
      <c r="D141" s="13">
        <v>2.05</v>
      </c>
      <c r="E141" s="13">
        <v>2.1</v>
      </c>
      <c r="F141" s="13"/>
      <c r="G141" s="31">
        <f>D141*E141</f>
        <v>4.305</v>
      </c>
      <c r="H141" s="14"/>
      <c r="I141" s="148"/>
      <c r="J141" s="14"/>
      <c r="K141" s="14"/>
      <c r="L141" s="14"/>
    </row>
    <row r="142" spans="1:12" s="37" customFormat="1" ht="64.5">
      <c r="A142" s="414"/>
      <c r="B142" s="412"/>
      <c r="C142" s="34" t="s">
        <v>507</v>
      </c>
      <c r="D142" s="34">
        <v>21.2</v>
      </c>
      <c r="E142" s="34">
        <v>3.6</v>
      </c>
      <c r="F142" s="34">
        <v>3</v>
      </c>
      <c r="G142" s="35">
        <f>D142*E142+1.5*1.8-G141</f>
        <v>74.715</v>
      </c>
      <c r="H142" s="36" t="s">
        <v>332</v>
      </c>
      <c r="I142" s="149" t="s">
        <v>508</v>
      </c>
      <c r="J142" s="36"/>
      <c r="K142" s="36"/>
      <c r="L142" s="36"/>
    </row>
    <row r="143" spans="1:12" s="37" customFormat="1" ht="64.5">
      <c r="A143" s="32">
        <v>100</v>
      </c>
      <c r="B143" s="33" t="s">
        <v>418</v>
      </c>
      <c r="C143" s="34" t="s">
        <v>509</v>
      </c>
      <c r="D143" s="34">
        <v>5</v>
      </c>
      <c r="E143" s="34">
        <v>2</v>
      </c>
      <c r="F143" s="34">
        <v>2.6</v>
      </c>
      <c r="G143" s="35">
        <f>D143*E143</f>
        <v>10</v>
      </c>
      <c r="H143" s="36" t="s">
        <v>416</v>
      </c>
      <c r="I143" s="149" t="s">
        <v>419</v>
      </c>
      <c r="J143" s="36"/>
      <c r="K143" s="36"/>
      <c r="L143" s="36"/>
    </row>
    <row r="144" spans="1:12" s="77" customFormat="1" ht="15.75">
      <c r="A144" s="72">
        <v>101</v>
      </c>
      <c r="B144" s="73" t="s">
        <v>135</v>
      </c>
      <c r="C144" s="74" t="s">
        <v>389</v>
      </c>
      <c r="D144" s="74"/>
      <c r="E144" s="74"/>
      <c r="F144" s="74"/>
      <c r="G144" s="76"/>
      <c r="H144" s="76"/>
      <c r="I144" s="157"/>
      <c r="J144" s="76"/>
      <c r="K144" s="76"/>
      <c r="L144" s="76"/>
    </row>
    <row r="145" spans="1:12" s="37" customFormat="1" ht="64.5">
      <c r="A145" s="32">
        <v>102</v>
      </c>
      <c r="B145" s="33" t="s">
        <v>136</v>
      </c>
      <c r="C145" s="34" t="s">
        <v>510</v>
      </c>
      <c r="D145" s="34">
        <v>5</v>
      </c>
      <c r="E145" s="34">
        <v>3</v>
      </c>
      <c r="F145" s="34">
        <v>2.3</v>
      </c>
      <c r="G145" s="35">
        <f>D145*E145</f>
        <v>15</v>
      </c>
      <c r="H145" s="36" t="s">
        <v>416</v>
      </c>
      <c r="I145" s="149" t="s">
        <v>417</v>
      </c>
      <c r="J145" s="36"/>
      <c r="K145" s="36"/>
      <c r="L145" s="36"/>
    </row>
    <row r="146" spans="1:12" s="77" customFormat="1" ht="47.25">
      <c r="A146" s="72">
        <v>103</v>
      </c>
      <c r="B146" s="73" t="s">
        <v>137</v>
      </c>
      <c r="C146" s="74" t="s">
        <v>511</v>
      </c>
      <c r="D146" s="74">
        <v>4</v>
      </c>
      <c r="E146" s="74">
        <v>3</v>
      </c>
      <c r="F146" s="74">
        <v>2.35</v>
      </c>
      <c r="G146" s="75">
        <f>D146*E146</f>
        <v>12</v>
      </c>
      <c r="H146" s="76" t="s">
        <v>363</v>
      </c>
      <c r="I146" s="150" t="s">
        <v>540</v>
      </c>
      <c r="J146" s="76"/>
      <c r="K146" s="76"/>
      <c r="L146" s="76"/>
    </row>
    <row r="147" spans="1:12" ht="15.75">
      <c r="A147" s="388" t="s">
        <v>139</v>
      </c>
      <c r="B147" s="415"/>
      <c r="C147" s="416"/>
      <c r="D147" s="20"/>
      <c r="E147" s="20"/>
      <c r="F147" s="20"/>
      <c r="G147" s="14"/>
      <c r="H147" s="14"/>
      <c r="I147" s="156"/>
      <c r="J147" s="14"/>
      <c r="K147" s="14"/>
      <c r="L147" s="14"/>
    </row>
    <row r="148" spans="1:12" s="77" customFormat="1" ht="15.75">
      <c r="A148" s="72">
        <v>104</v>
      </c>
      <c r="B148" s="73" t="s">
        <v>140</v>
      </c>
      <c r="C148" s="74" t="s">
        <v>389</v>
      </c>
      <c r="D148" s="74"/>
      <c r="E148" s="74"/>
      <c r="F148" s="74"/>
      <c r="G148" s="76"/>
      <c r="H148" s="76"/>
      <c r="I148" s="157"/>
      <c r="J148" s="76"/>
      <c r="K148" s="76"/>
      <c r="L148" s="76"/>
    </row>
    <row r="149" spans="1:12" ht="15.75">
      <c r="A149" s="388" t="s">
        <v>141</v>
      </c>
      <c r="B149" s="415"/>
      <c r="C149" s="416"/>
      <c r="D149" s="20"/>
      <c r="E149" s="20"/>
      <c r="F149" s="20"/>
      <c r="G149" s="14"/>
      <c r="H149" s="14"/>
      <c r="I149" s="156"/>
      <c r="J149" s="14"/>
      <c r="K149" s="14"/>
      <c r="L149" s="14"/>
    </row>
    <row r="150" spans="1:12" s="47" customFormat="1" ht="53.25" customHeight="1">
      <c r="A150" s="42">
        <v>105</v>
      </c>
      <c r="B150" s="43" t="s">
        <v>425</v>
      </c>
      <c r="C150" s="44" t="s">
        <v>561</v>
      </c>
      <c r="D150" s="44">
        <v>12</v>
      </c>
      <c r="E150" s="44">
        <v>1.5</v>
      </c>
      <c r="F150" s="44"/>
      <c r="G150" s="46">
        <f>D150*E150</f>
        <v>18</v>
      </c>
      <c r="H150" s="46"/>
      <c r="I150" s="151" t="s">
        <v>426</v>
      </c>
      <c r="J150" s="46"/>
      <c r="K150" s="46"/>
      <c r="L150" s="46"/>
    </row>
    <row r="151" spans="1:12" s="47" customFormat="1" ht="53.25" customHeight="1">
      <c r="A151" s="42">
        <v>106</v>
      </c>
      <c r="B151" s="43" t="s">
        <v>142</v>
      </c>
      <c r="C151" s="44" t="s">
        <v>561</v>
      </c>
      <c r="D151" s="44">
        <v>15</v>
      </c>
      <c r="E151" s="44">
        <v>1.5</v>
      </c>
      <c r="F151" s="44"/>
      <c r="G151" s="46">
        <f>D151*E151</f>
        <v>22.5</v>
      </c>
      <c r="H151" s="46"/>
      <c r="I151" s="151" t="s">
        <v>424</v>
      </c>
      <c r="J151" s="46"/>
      <c r="K151" s="46"/>
      <c r="L151" s="46"/>
    </row>
    <row r="152" spans="1:12" s="47" customFormat="1" ht="53.25" customHeight="1">
      <c r="A152" s="42">
        <v>107</v>
      </c>
      <c r="B152" s="43" t="s">
        <v>143</v>
      </c>
      <c r="C152" s="44" t="s">
        <v>810</v>
      </c>
      <c r="D152" s="44">
        <v>14.4</v>
      </c>
      <c r="E152" s="44">
        <v>1.6</v>
      </c>
      <c r="F152" s="44"/>
      <c r="G152" s="45">
        <f>D152*E152</f>
        <v>23.040000000000003</v>
      </c>
      <c r="H152" s="46"/>
      <c r="I152" s="151" t="s">
        <v>423</v>
      </c>
      <c r="J152" s="46"/>
      <c r="K152" s="46"/>
      <c r="L152" s="46"/>
    </row>
    <row r="153" spans="1:12" ht="15.75">
      <c r="A153" s="388" t="s">
        <v>144</v>
      </c>
      <c r="B153" s="415"/>
      <c r="C153" s="416"/>
      <c r="D153" s="20"/>
      <c r="E153" s="20"/>
      <c r="F153" s="20"/>
      <c r="G153" s="14"/>
      <c r="H153" s="14"/>
      <c r="I153" s="156"/>
      <c r="J153" s="14"/>
      <c r="K153" s="14"/>
      <c r="L153" s="14"/>
    </row>
    <row r="154" spans="1:12" ht="63">
      <c r="A154" s="100">
        <v>108</v>
      </c>
      <c r="B154" s="55" t="s">
        <v>335</v>
      </c>
      <c r="C154" s="34" t="s">
        <v>811</v>
      </c>
      <c r="D154" s="34">
        <v>7.9</v>
      </c>
      <c r="E154" s="34">
        <v>2.5</v>
      </c>
      <c r="F154" s="34">
        <v>2.7</v>
      </c>
      <c r="G154" s="35">
        <f aca="true" t="shared" si="1" ref="G154:G159">D154*E154</f>
        <v>19.75</v>
      </c>
      <c r="H154" s="36" t="s">
        <v>332</v>
      </c>
      <c r="I154" s="149" t="s">
        <v>812</v>
      </c>
      <c r="J154" s="14"/>
      <c r="K154" s="14"/>
      <c r="L154" s="14"/>
    </row>
    <row r="155" spans="1:12" ht="63">
      <c r="A155" s="32">
        <v>109</v>
      </c>
      <c r="B155" s="33" t="s">
        <v>699</v>
      </c>
      <c r="C155" s="34" t="s">
        <v>700</v>
      </c>
      <c r="D155" s="34">
        <v>6</v>
      </c>
      <c r="E155" s="34">
        <v>2.5</v>
      </c>
      <c r="F155" s="34">
        <v>2.3</v>
      </c>
      <c r="G155" s="35">
        <f t="shared" si="1"/>
        <v>15</v>
      </c>
      <c r="H155" s="36" t="s">
        <v>332</v>
      </c>
      <c r="I155" s="149" t="s">
        <v>701</v>
      </c>
      <c r="J155" s="14"/>
      <c r="K155" s="14"/>
      <c r="L155" s="14"/>
    </row>
    <row r="156" spans="1:12" s="67" customFormat="1" ht="38.25">
      <c r="A156" s="42">
        <v>110</v>
      </c>
      <c r="B156" s="43" t="s">
        <v>147</v>
      </c>
      <c r="C156" s="44" t="s">
        <v>704</v>
      </c>
      <c r="D156" s="44">
        <v>6.2</v>
      </c>
      <c r="E156" s="44">
        <v>2.8</v>
      </c>
      <c r="F156" s="44"/>
      <c r="G156" s="45">
        <f t="shared" si="1"/>
        <v>17.36</v>
      </c>
      <c r="H156" s="46" t="s">
        <v>332</v>
      </c>
      <c r="I156" s="151" t="s">
        <v>705</v>
      </c>
      <c r="J156" s="165"/>
      <c r="K156" s="165"/>
      <c r="L156" s="165"/>
    </row>
    <row r="157" spans="1:12" ht="78.75">
      <c r="A157" s="32">
        <v>111</v>
      </c>
      <c r="B157" s="33" t="s">
        <v>148</v>
      </c>
      <c r="C157" s="34" t="s">
        <v>703</v>
      </c>
      <c r="D157" s="34">
        <v>6.7</v>
      </c>
      <c r="E157" s="34">
        <v>2.6</v>
      </c>
      <c r="F157" s="34">
        <v>2.75</v>
      </c>
      <c r="G157" s="35">
        <f t="shared" si="1"/>
        <v>17.42</v>
      </c>
      <c r="H157" s="36" t="s">
        <v>334</v>
      </c>
      <c r="I157" s="149" t="s">
        <v>348</v>
      </c>
      <c r="J157" s="14"/>
      <c r="K157" s="14"/>
      <c r="L157" s="14"/>
    </row>
    <row r="158" spans="1:12" ht="51">
      <c r="A158" s="32">
        <v>112</v>
      </c>
      <c r="B158" s="33" t="s">
        <v>149</v>
      </c>
      <c r="C158" s="44" t="s">
        <v>706</v>
      </c>
      <c r="D158" s="44">
        <v>9</v>
      </c>
      <c r="E158" s="44">
        <v>1.8</v>
      </c>
      <c r="F158" s="44"/>
      <c r="G158" s="45">
        <f t="shared" si="1"/>
        <v>16.2</v>
      </c>
      <c r="H158" s="46" t="s">
        <v>352</v>
      </c>
      <c r="I158" s="151" t="s">
        <v>707</v>
      </c>
      <c r="J158" s="14"/>
      <c r="K158" s="14"/>
      <c r="L158" s="14"/>
    </row>
    <row r="159" spans="1:12" s="67" customFormat="1" ht="40.5" customHeight="1">
      <c r="A159" s="42">
        <v>113</v>
      </c>
      <c r="B159" s="43" t="s">
        <v>150</v>
      </c>
      <c r="C159" s="44" t="s">
        <v>706</v>
      </c>
      <c r="D159" s="44">
        <v>9</v>
      </c>
      <c r="E159" s="44">
        <v>2</v>
      </c>
      <c r="F159" s="44"/>
      <c r="G159" s="45">
        <f t="shared" si="1"/>
        <v>18</v>
      </c>
      <c r="H159" s="46" t="s">
        <v>352</v>
      </c>
      <c r="I159" s="151" t="s">
        <v>707</v>
      </c>
      <c r="J159" s="165"/>
      <c r="K159" s="165"/>
      <c r="L159" s="165"/>
    </row>
    <row r="160" spans="1:12" s="77" customFormat="1" ht="15.75">
      <c r="A160" s="72">
        <v>114</v>
      </c>
      <c r="B160" s="73" t="s">
        <v>151</v>
      </c>
      <c r="C160" s="74" t="s">
        <v>708</v>
      </c>
      <c r="D160" s="74"/>
      <c r="E160" s="74"/>
      <c r="F160" s="74"/>
      <c r="G160" s="76"/>
      <c r="H160" s="76"/>
      <c r="I160" s="157" t="s">
        <v>356</v>
      </c>
      <c r="J160" s="76"/>
      <c r="K160" s="76"/>
      <c r="L160" s="76"/>
    </row>
    <row r="161" spans="1:12" ht="47.25">
      <c r="A161" s="32">
        <v>115</v>
      </c>
      <c r="B161" s="33" t="s">
        <v>152</v>
      </c>
      <c r="C161" s="34" t="s">
        <v>718</v>
      </c>
      <c r="D161" s="34">
        <v>4.6</v>
      </c>
      <c r="E161" s="34">
        <v>2.6</v>
      </c>
      <c r="F161" s="34">
        <v>2.2</v>
      </c>
      <c r="G161" s="35">
        <f>D161*E161</f>
        <v>11.959999999999999</v>
      </c>
      <c r="H161" s="36" t="s">
        <v>332</v>
      </c>
      <c r="I161" s="149" t="s">
        <v>719</v>
      </c>
      <c r="J161" s="14"/>
      <c r="K161" s="14"/>
      <c r="L161" s="14"/>
    </row>
    <row r="162" spans="1:12" s="77" customFormat="1" ht="15.75">
      <c r="A162" s="72">
        <v>116</v>
      </c>
      <c r="B162" s="73" t="s">
        <v>153</v>
      </c>
      <c r="C162" s="74" t="s">
        <v>389</v>
      </c>
      <c r="D162" s="74"/>
      <c r="E162" s="74"/>
      <c r="F162" s="74"/>
      <c r="G162" s="76"/>
      <c r="H162" s="76"/>
      <c r="I162" s="157" t="s">
        <v>356</v>
      </c>
      <c r="J162" s="76"/>
      <c r="K162" s="76"/>
      <c r="L162" s="76"/>
    </row>
    <row r="163" spans="1:12" ht="64.5">
      <c r="A163" s="32">
        <v>117</v>
      </c>
      <c r="B163" s="33" t="s">
        <v>154</v>
      </c>
      <c r="C163" s="34" t="s">
        <v>716</v>
      </c>
      <c r="D163" s="34">
        <v>10.4</v>
      </c>
      <c r="E163" s="34">
        <v>2.3</v>
      </c>
      <c r="F163" s="34">
        <v>2.7</v>
      </c>
      <c r="G163" s="35">
        <f>D163*E163+1.6*4.5</f>
        <v>31.119999999999997</v>
      </c>
      <c r="H163" s="36" t="s">
        <v>334</v>
      </c>
      <c r="I163" s="149" t="s">
        <v>717</v>
      </c>
      <c r="J163" s="14"/>
      <c r="K163" s="14"/>
      <c r="L163" s="14"/>
    </row>
    <row r="164" spans="1:12" ht="47.25">
      <c r="A164" s="32">
        <v>118</v>
      </c>
      <c r="B164" s="33" t="s">
        <v>712</v>
      </c>
      <c r="C164" s="34" t="s">
        <v>713</v>
      </c>
      <c r="D164" s="34">
        <v>3.5</v>
      </c>
      <c r="E164" s="34">
        <v>1.8</v>
      </c>
      <c r="F164" s="34">
        <v>2.5</v>
      </c>
      <c r="G164" s="35">
        <f>D164*E164</f>
        <v>6.3</v>
      </c>
      <c r="H164" s="36" t="s">
        <v>332</v>
      </c>
      <c r="I164" s="149" t="s">
        <v>714</v>
      </c>
      <c r="J164" s="14"/>
      <c r="K164" s="14"/>
      <c r="L164" s="14"/>
    </row>
    <row r="165" spans="1:12" ht="63">
      <c r="A165" s="32">
        <v>119</v>
      </c>
      <c r="B165" s="33" t="s">
        <v>709</v>
      </c>
      <c r="C165" s="34" t="s">
        <v>710</v>
      </c>
      <c r="D165" s="34">
        <v>14</v>
      </c>
      <c r="E165" s="34">
        <v>7.5</v>
      </c>
      <c r="F165" s="34">
        <v>3.4</v>
      </c>
      <c r="G165" s="35">
        <f>D165*E165</f>
        <v>105</v>
      </c>
      <c r="H165" s="36" t="s">
        <v>334</v>
      </c>
      <c r="I165" s="149" t="s">
        <v>711</v>
      </c>
      <c r="J165" s="14"/>
      <c r="K165" s="14"/>
      <c r="L165" s="14"/>
    </row>
    <row r="166" spans="1:12" ht="15.75">
      <c r="A166" s="388" t="s">
        <v>157</v>
      </c>
      <c r="B166" s="415"/>
      <c r="C166" s="416"/>
      <c r="D166" s="20"/>
      <c r="E166" s="20"/>
      <c r="F166" s="20"/>
      <c r="G166" s="14"/>
      <c r="H166" s="14"/>
      <c r="I166" s="156"/>
      <c r="J166" s="14"/>
      <c r="K166" s="14"/>
      <c r="L166" s="14"/>
    </row>
    <row r="167" spans="1:12" ht="15.75">
      <c r="A167" s="413">
        <v>120</v>
      </c>
      <c r="B167" s="411" t="s">
        <v>751</v>
      </c>
      <c r="C167" s="13" t="s">
        <v>241</v>
      </c>
      <c r="D167" s="13">
        <v>7.9</v>
      </c>
      <c r="E167" s="13">
        <v>3.3</v>
      </c>
      <c r="F167" s="13"/>
      <c r="G167" s="31">
        <f>D167*E167</f>
        <v>26.07</v>
      </c>
      <c r="H167" s="14"/>
      <c r="I167" s="156"/>
      <c r="J167" s="14"/>
      <c r="K167" s="14"/>
      <c r="L167" s="14"/>
    </row>
    <row r="168" spans="1:12" ht="63">
      <c r="A168" s="414"/>
      <c r="B168" s="412"/>
      <c r="C168" s="34" t="s">
        <v>752</v>
      </c>
      <c r="D168" s="34">
        <v>15.1</v>
      </c>
      <c r="E168" s="34">
        <v>5.6</v>
      </c>
      <c r="F168" s="34">
        <v>3.45</v>
      </c>
      <c r="G168" s="35">
        <f>D168*E168-G167+1.2*1.5*2</f>
        <v>62.08999999999999</v>
      </c>
      <c r="H168" s="36" t="s">
        <v>334</v>
      </c>
      <c r="I168" s="149"/>
      <c r="J168" s="14"/>
      <c r="K168" s="14"/>
      <c r="L168" s="14"/>
    </row>
    <row r="169" spans="1:12" ht="51.75">
      <c r="A169" s="32">
        <v>121</v>
      </c>
      <c r="B169" s="33" t="s">
        <v>158</v>
      </c>
      <c r="C169" s="34" t="s">
        <v>749</v>
      </c>
      <c r="D169" s="34">
        <v>7.1</v>
      </c>
      <c r="E169" s="34">
        <v>2.4</v>
      </c>
      <c r="F169" s="34"/>
      <c r="G169" s="35">
        <f>D169*E169</f>
        <v>17.04</v>
      </c>
      <c r="H169" s="36" t="s">
        <v>332</v>
      </c>
      <c r="I169" s="149" t="s">
        <v>750</v>
      </c>
      <c r="J169" s="14"/>
      <c r="K169" s="14"/>
      <c r="L169" s="14"/>
    </row>
    <row r="170" spans="1:12" ht="51.75">
      <c r="A170" s="32">
        <v>122</v>
      </c>
      <c r="B170" s="33" t="s">
        <v>159</v>
      </c>
      <c r="C170" s="34" t="s">
        <v>747</v>
      </c>
      <c r="D170" s="34">
        <v>12.3</v>
      </c>
      <c r="E170" s="34">
        <v>1.5</v>
      </c>
      <c r="F170" s="34"/>
      <c r="G170" s="35">
        <f>D170*E170</f>
        <v>18.450000000000003</v>
      </c>
      <c r="H170" s="36" t="s">
        <v>332</v>
      </c>
      <c r="I170" s="149" t="s">
        <v>748</v>
      </c>
      <c r="J170" s="14"/>
      <c r="K170" s="14"/>
      <c r="L170" s="14"/>
    </row>
    <row r="171" spans="1:12" s="77" customFormat="1" ht="26.25">
      <c r="A171" s="72">
        <v>123</v>
      </c>
      <c r="B171" s="73" t="s">
        <v>160</v>
      </c>
      <c r="C171" s="74" t="s">
        <v>452</v>
      </c>
      <c r="D171" s="74">
        <v>6</v>
      </c>
      <c r="E171" s="74">
        <v>1.5</v>
      </c>
      <c r="F171" s="74"/>
      <c r="G171" s="76">
        <f>D171*E171</f>
        <v>9</v>
      </c>
      <c r="H171" s="76"/>
      <c r="I171" s="150" t="s">
        <v>453</v>
      </c>
      <c r="J171" s="76"/>
      <c r="K171" s="76"/>
      <c r="L171" s="76"/>
    </row>
    <row r="172" spans="1:12" s="47" customFormat="1" ht="38.25">
      <c r="A172" s="42">
        <v>124</v>
      </c>
      <c r="B172" s="43" t="s">
        <v>161</v>
      </c>
      <c r="C172" s="44" t="s">
        <v>454</v>
      </c>
      <c r="D172" s="44">
        <v>6.25</v>
      </c>
      <c r="E172" s="44">
        <v>1.35</v>
      </c>
      <c r="F172" s="44"/>
      <c r="G172" s="45">
        <f>D172*E172</f>
        <v>8.4375</v>
      </c>
      <c r="H172" s="46" t="s">
        <v>332</v>
      </c>
      <c r="I172" s="151" t="s">
        <v>455</v>
      </c>
      <c r="J172" s="46"/>
      <c r="K172" s="46"/>
      <c r="L172" s="46"/>
    </row>
    <row r="173" spans="1:12" s="37" customFormat="1" ht="78.75">
      <c r="A173" s="38">
        <v>125</v>
      </c>
      <c r="B173" s="39" t="s">
        <v>162</v>
      </c>
      <c r="C173" s="34" t="s">
        <v>512</v>
      </c>
      <c r="D173" s="34">
        <v>12</v>
      </c>
      <c r="E173" s="34">
        <v>1</v>
      </c>
      <c r="F173" s="34">
        <v>2.5</v>
      </c>
      <c r="G173" s="35">
        <f>D173*E173+2.8*4.8</f>
        <v>25.439999999999998</v>
      </c>
      <c r="H173" s="36" t="s">
        <v>332</v>
      </c>
      <c r="I173" s="149" t="s">
        <v>541</v>
      </c>
      <c r="J173" s="36"/>
      <c r="K173" s="36"/>
      <c r="L173" s="36"/>
    </row>
    <row r="174" spans="1:12" ht="15.75">
      <c r="A174" s="388" t="s">
        <v>163</v>
      </c>
      <c r="B174" s="415"/>
      <c r="C174" s="416"/>
      <c r="D174" s="20"/>
      <c r="E174" s="20"/>
      <c r="F174" s="20"/>
      <c r="G174" s="14"/>
      <c r="H174" s="14"/>
      <c r="I174" s="156"/>
      <c r="J174" s="14"/>
      <c r="K174" s="14"/>
      <c r="L174" s="14"/>
    </row>
    <row r="175" spans="1:12" s="37" customFormat="1" ht="78.75">
      <c r="A175" s="56">
        <v>126</v>
      </c>
      <c r="B175" s="33" t="s">
        <v>164</v>
      </c>
      <c r="C175" s="34" t="s">
        <v>513</v>
      </c>
      <c r="D175" s="34">
        <v>9.25</v>
      </c>
      <c r="E175" s="34">
        <v>3.85</v>
      </c>
      <c r="F175" s="34">
        <v>2.2</v>
      </c>
      <c r="G175" s="35">
        <f>D175*E175+1.3*1.8</f>
        <v>37.95250000000001</v>
      </c>
      <c r="H175" s="36" t="s">
        <v>332</v>
      </c>
      <c r="I175" s="149" t="s">
        <v>542</v>
      </c>
      <c r="J175" s="36"/>
      <c r="K175" s="36"/>
      <c r="L175" s="36"/>
    </row>
    <row r="176" spans="1:12" ht="15.75">
      <c r="A176" s="413">
        <v>127</v>
      </c>
      <c r="B176" s="411" t="s">
        <v>165</v>
      </c>
      <c r="C176" s="13" t="s">
        <v>241</v>
      </c>
      <c r="D176" s="13">
        <v>3.1</v>
      </c>
      <c r="E176" s="13">
        <v>2.1</v>
      </c>
      <c r="F176" s="13"/>
      <c r="G176" s="31">
        <f>D176*E176-0.8*0.6/2</f>
        <v>6.2700000000000005</v>
      </c>
      <c r="H176" s="14"/>
      <c r="I176" s="156"/>
      <c r="J176" s="14"/>
      <c r="K176" s="14"/>
      <c r="L176" s="14"/>
    </row>
    <row r="177" spans="1:12" s="37" customFormat="1" ht="78.75">
      <c r="A177" s="414"/>
      <c r="B177" s="412"/>
      <c r="C177" s="34" t="s">
        <v>644</v>
      </c>
      <c r="D177" s="34">
        <v>18.8</v>
      </c>
      <c r="E177" s="34">
        <v>3.8</v>
      </c>
      <c r="F177" s="34">
        <v>2.6</v>
      </c>
      <c r="G177" s="35">
        <f>D177*E177-G176</f>
        <v>65.17</v>
      </c>
      <c r="H177" s="36" t="s">
        <v>332</v>
      </c>
      <c r="I177" s="149" t="s">
        <v>543</v>
      </c>
      <c r="J177" s="36"/>
      <c r="K177" s="36"/>
      <c r="L177" s="36"/>
    </row>
    <row r="178" spans="1:12" s="37" customFormat="1" ht="47.25">
      <c r="A178" s="32">
        <v>128</v>
      </c>
      <c r="B178" s="33" t="s">
        <v>166</v>
      </c>
      <c r="C178" s="34" t="s">
        <v>443</v>
      </c>
      <c r="D178" s="34">
        <v>6.55</v>
      </c>
      <c r="E178" s="34">
        <v>2.75</v>
      </c>
      <c r="F178" s="34"/>
      <c r="G178" s="35">
        <f>D178*E178</f>
        <v>18.0125</v>
      </c>
      <c r="H178" s="36" t="s">
        <v>334</v>
      </c>
      <c r="I178" s="149" t="s">
        <v>444</v>
      </c>
      <c r="J178" s="36"/>
      <c r="K178" s="36"/>
      <c r="L178" s="36"/>
    </row>
    <row r="179" spans="1:12" ht="15.75">
      <c r="A179" s="388" t="s">
        <v>653</v>
      </c>
      <c r="B179" s="415"/>
      <c r="C179" s="416"/>
      <c r="D179" s="20"/>
      <c r="E179" s="20"/>
      <c r="F179" s="20"/>
      <c r="G179" s="14"/>
      <c r="H179" s="14"/>
      <c r="I179" s="156"/>
      <c r="J179" s="14"/>
      <c r="K179" s="14"/>
      <c r="L179" s="14"/>
    </row>
    <row r="180" spans="1:12" s="37" customFormat="1" ht="63">
      <c r="A180" s="32">
        <v>129</v>
      </c>
      <c r="B180" s="33" t="s">
        <v>654</v>
      </c>
      <c r="C180" s="34" t="s">
        <v>655</v>
      </c>
      <c r="D180" s="34">
        <v>9</v>
      </c>
      <c r="E180" s="34">
        <v>3.3</v>
      </c>
      <c r="F180" s="34">
        <v>2.6</v>
      </c>
      <c r="G180" s="35">
        <f>D180*E180</f>
        <v>29.7</v>
      </c>
      <c r="H180" s="36" t="s">
        <v>332</v>
      </c>
      <c r="I180" s="149" t="s">
        <v>656</v>
      </c>
      <c r="J180" s="36"/>
      <c r="K180" s="36"/>
      <c r="L180" s="36"/>
    </row>
    <row r="181" spans="1:12" s="77" customFormat="1" ht="31.5">
      <c r="A181" s="72">
        <v>130</v>
      </c>
      <c r="B181" s="73" t="s">
        <v>640</v>
      </c>
      <c r="C181" s="74" t="s">
        <v>641</v>
      </c>
      <c r="D181" s="74">
        <v>10.8</v>
      </c>
      <c r="E181" s="74">
        <v>1.5</v>
      </c>
      <c r="F181" s="74"/>
      <c r="G181" s="75">
        <f>D181*E181</f>
        <v>16.200000000000003</v>
      </c>
      <c r="H181" s="76" t="s">
        <v>642</v>
      </c>
      <c r="I181" s="150" t="s">
        <v>643</v>
      </c>
      <c r="J181" s="76"/>
      <c r="K181" s="76"/>
      <c r="L181" s="76"/>
    </row>
    <row r="182" spans="1:12" s="37" customFormat="1" ht="63">
      <c r="A182" s="32">
        <v>131</v>
      </c>
      <c r="B182" s="33" t="s">
        <v>645</v>
      </c>
      <c r="C182" s="34" t="s">
        <v>646</v>
      </c>
      <c r="D182" s="34">
        <v>4.86</v>
      </c>
      <c r="E182" s="34">
        <v>2.45</v>
      </c>
      <c r="F182" s="34">
        <v>2.4</v>
      </c>
      <c r="G182" s="35">
        <f>D182*E182</f>
        <v>11.907000000000002</v>
      </c>
      <c r="H182" s="36" t="s">
        <v>332</v>
      </c>
      <c r="I182" s="149" t="s">
        <v>647</v>
      </c>
      <c r="J182" s="36"/>
      <c r="K182" s="36"/>
      <c r="L182" s="36"/>
    </row>
    <row r="183" spans="1:12" ht="15.75">
      <c r="A183" s="388" t="s">
        <v>852</v>
      </c>
      <c r="B183" s="415"/>
      <c r="C183" s="416"/>
      <c r="D183" s="20"/>
      <c r="E183" s="20"/>
      <c r="F183" s="20"/>
      <c r="G183" s="14"/>
      <c r="H183" s="14"/>
      <c r="I183" s="156"/>
      <c r="J183" s="14"/>
      <c r="K183" s="14"/>
      <c r="L183" s="14"/>
    </row>
    <row r="184" spans="1:12" s="37" customFormat="1" ht="63">
      <c r="A184" s="56">
        <v>132</v>
      </c>
      <c r="B184" s="55" t="s">
        <v>170</v>
      </c>
      <c r="C184" s="34" t="s">
        <v>739</v>
      </c>
      <c r="D184" s="34">
        <v>9.2</v>
      </c>
      <c r="E184" s="34">
        <v>1.2</v>
      </c>
      <c r="F184" s="34">
        <v>2.45</v>
      </c>
      <c r="G184" s="35">
        <f>D184*E184+4*2.4</f>
        <v>20.64</v>
      </c>
      <c r="H184" s="36" t="s">
        <v>332</v>
      </c>
      <c r="I184" s="149" t="s">
        <v>740</v>
      </c>
      <c r="J184" s="36"/>
      <c r="K184" s="36"/>
      <c r="L184" s="36"/>
    </row>
    <row r="185" spans="1:12" s="37" customFormat="1" ht="63">
      <c r="A185" s="38">
        <v>133</v>
      </c>
      <c r="B185" s="39" t="s">
        <v>171</v>
      </c>
      <c r="C185" s="34" t="s">
        <v>514</v>
      </c>
      <c r="D185" s="34">
        <v>6.1</v>
      </c>
      <c r="E185" s="34">
        <v>2.25</v>
      </c>
      <c r="F185" s="34">
        <v>2.45</v>
      </c>
      <c r="G185" s="35">
        <f>D185*E185</f>
        <v>13.725</v>
      </c>
      <c r="H185" s="36" t="s">
        <v>334</v>
      </c>
      <c r="I185" s="149" t="s">
        <v>460</v>
      </c>
      <c r="J185" s="36"/>
      <c r="K185" s="36"/>
      <c r="L185" s="36"/>
    </row>
    <row r="186" spans="1:12" ht="51.75">
      <c r="A186" s="32">
        <v>134</v>
      </c>
      <c r="B186" s="87" t="s">
        <v>741</v>
      </c>
      <c r="C186" s="34" t="s">
        <v>742</v>
      </c>
      <c r="D186" s="34">
        <v>11</v>
      </c>
      <c r="E186" s="34">
        <v>2.1</v>
      </c>
      <c r="F186" s="34"/>
      <c r="G186" s="35">
        <f>D186*E186</f>
        <v>23.1</v>
      </c>
      <c r="H186" s="36" t="s">
        <v>352</v>
      </c>
      <c r="I186" s="149" t="s">
        <v>743</v>
      </c>
      <c r="J186" s="14"/>
      <c r="K186" s="14"/>
      <c r="L186" s="14"/>
    </row>
    <row r="187" spans="1:12" ht="15.75">
      <c r="A187" s="388" t="s">
        <v>232</v>
      </c>
      <c r="B187" s="415"/>
      <c r="C187" s="416"/>
      <c r="D187" s="20"/>
      <c r="E187" s="20"/>
      <c r="F187" s="20"/>
      <c r="G187" s="14"/>
      <c r="H187" s="14"/>
      <c r="I187" s="156"/>
      <c r="J187" s="14"/>
      <c r="K187" s="14"/>
      <c r="L187" s="14"/>
    </row>
    <row r="188" spans="1:12" s="37" customFormat="1" ht="63">
      <c r="A188" s="32">
        <v>135</v>
      </c>
      <c r="B188" s="33" t="s">
        <v>233</v>
      </c>
      <c r="C188" s="34" t="s">
        <v>609</v>
      </c>
      <c r="D188" s="34">
        <v>6.2</v>
      </c>
      <c r="E188" s="34">
        <v>3</v>
      </c>
      <c r="F188" s="34">
        <v>2.4</v>
      </c>
      <c r="G188" s="35">
        <f>D188*E188</f>
        <v>18.6</v>
      </c>
      <c r="H188" s="36" t="s">
        <v>334</v>
      </c>
      <c r="I188" s="149" t="s">
        <v>610</v>
      </c>
      <c r="J188" s="36"/>
      <c r="K188" s="36"/>
      <c r="L188" s="36"/>
    </row>
    <row r="189" spans="1:12" s="37" customFormat="1" ht="63">
      <c r="A189" s="32">
        <v>136</v>
      </c>
      <c r="B189" s="33" t="s">
        <v>234</v>
      </c>
      <c r="C189" s="34" t="s">
        <v>605</v>
      </c>
      <c r="D189" s="34">
        <v>6.2</v>
      </c>
      <c r="E189" s="34">
        <v>3</v>
      </c>
      <c r="F189" s="34">
        <v>2.4</v>
      </c>
      <c r="G189" s="35">
        <f>D189*E189</f>
        <v>18.6</v>
      </c>
      <c r="H189" s="36" t="s">
        <v>334</v>
      </c>
      <c r="I189" s="149" t="s">
        <v>606</v>
      </c>
      <c r="J189" s="36"/>
      <c r="K189" s="36"/>
      <c r="L189" s="36"/>
    </row>
    <row r="190" spans="1:12" s="37" customFormat="1" ht="63">
      <c r="A190" s="32">
        <v>137</v>
      </c>
      <c r="B190" s="33" t="s">
        <v>564</v>
      </c>
      <c r="C190" s="34" t="s">
        <v>605</v>
      </c>
      <c r="D190" s="34">
        <v>6.3</v>
      </c>
      <c r="E190" s="34">
        <v>3</v>
      </c>
      <c r="F190" s="34">
        <v>2.4</v>
      </c>
      <c r="G190" s="35">
        <f>D190*E190</f>
        <v>18.9</v>
      </c>
      <c r="H190" s="36" t="s">
        <v>334</v>
      </c>
      <c r="I190" s="149" t="s">
        <v>606</v>
      </c>
      <c r="J190" s="36"/>
      <c r="K190" s="36"/>
      <c r="L190" s="36"/>
    </row>
    <row r="191" spans="1:12" s="37" customFormat="1" ht="63">
      <c r="A191" s="32">
        <v>138</v>
      </c>
      <c r="B191" s="33" t="s">
        <v>544</v>
      </c>
      <c r="C191" s="34" t="s">
        <v>607</v>
      </c>
      <c r="D191" s="34">
        <v>6</v>
      </c>
      <c r="E191" s="34">
        <v>2.8</v>
      </c>
      <c r="F191" s="34">
        <v>2.4</v>
      </c>
      <c r="G191" s="35">
        <f>D191*E191</f>
        <v>16.799999999999997</v>
      </c>
      <c r="H191" s="36" t="s">
        <v>334</v>
      </c>
      <c r="I191" s="149" t="s">
        <v>608</v>
      </c>
      <c r="J191" s="36"/>
      <c r="K191" s="36"/>
      <c r="L191" s="36"/>
    </row>
    <row r="192" spans="1:12" ht="15.75">
      <c r="A192" s="388" t="s">
        <v>173</v>
      </c>
      <c r="B192" s="415"/>
      <c r="C192" s="416"/>
      <c r="D192" s="20"/>
      <c r="E192" s="20"/>
      <c r="F192" s="20"/>
      <c r="G192" s="14"/>
      <c r="H192" s="14"/>
      <c r="I192" s="156"/>
      <c r="J192" s="14"/>
      <c r="K192" s="14"/>
      <c r="L192" s="14"/>
    </row>
    <row r="193" spans="1:12" s="67" customFormat="1" ht="54" customHeight="1">
      <c r="A193" s="42">
        <v>139</v>
      </c>
      <c r="B193" s="43" t="s">
        <v>174</v>
      </c>
      <c r="C193" s="44" t="s">
        <v>813</v>
      </c>
      <c r="D193" s="44">
        <v>6</v>
      </c>
      <c r="E193" s="44">
        <v>1.6</v>
      </c>
      <c r="F193" s="44"/>
      <c r="G193" s="45">
        <f>D193*E193</f>
        <v>9.600000000000001</v>
      </c>
      <c r="H193" s="46" t="s">
        <v>332</v>
      </c>
      <c r="I193" s="151" t="s">
        <v>814</v>
      </c>
      <c r="J193" s="165"/>
      <c r="K193" s="165"/>
      <c r="L193" s="165"/>
    </row>
    <row r="194" spans="1:12" ht="15.75">
      <c r="A194" s="388" t="s">
        <v>448</v>
      </c>
      <c r="B194" s="415"/>
      <c r="C194" s="416"/>
      <c r="D194" s="20"/>
      <c r="E194" s="20"/>
      <c r="F194" s="20"/>
      <c r="G194" s="14"/>
      <c r="H194" s="14"/>
      <c r="I194" s="156"/>
      <c r="J194" s="14"/>
      <c r="K194" s="14"/>
      <c r="L194" s="14"/>
    </row>
    <row r="195" spans="1:12" s="77" customFormat="1" ht="15.75">
      <c r="A195" s="72">
        <v>140</v>
      </c>
      <c r="B195" s="73" t="s">
        <v>205</v>
      </c>
      <c r="C195" s="74" t="s">
        <v>389</v>
      </c>
      <c r="D195" s="74"/>
      <c r="E195" s="74"/>
      <c r="F195" s="74"/>
      <c r="G195" s="76"/>
      <c r="H195" s="76"/>
      <c r="I195" s="157"/>
      <c r="J195" s="76"/>
      <c r="K195" s="76"/>
      <c r="L195" s="76"/>
    </row>
    <row r="196" spans="1:12" s="37" customFormat="1" ht="78.75">
      <c r="A196" s="38">
        <v>141</v>
      </c>
      <c r="B196" s="39" t="s">
        <v>449</v>
      </c>
      <c r="C196" s="34" t="s">
        <v>545</v>
      </c>
      <c r="D196" s="34">
        <v>13.2</v>
      </c>
      <c r="E196" s="34">
        <v>3.8</v>
      </c>
      <c r="F196" s="34">
        <v>2.66</v>
      </c>
      <c r="G196" s="35">
        <f>D196*E196</f>
        <v>50.16</v>
      </c>
      <c r="H196" s="36" t="s">
        <v>332</v>
      </c>
      <c r="I196" s="149" t="s">
        <v>450</v>
      </c>
      <c r="J196" s="36"/>
      <c r="K196" s="36"/>
      <c r="L196" s="36"/>
    </row>
    <row r="197" spans="1:12" s="77" customFormat="1" ht="64.5">
      <c r="A197" s="72">
        <v>142</v>
      </c>
      <c r="B197" s="73" t="s">
        <v>206</v>
      </c>
      <c r="C197" s="74" t="s">
        <v>515</v>
      </c>
      <c r="D197" s="74">
        <v>5.6</v>
      </c>
      <c r="E197" s="74">
        <v>2.9</v>
      </c>
      <c r="F197" s="74">
        <v>2.6</v>
      </c>
      <c r="G197" s="75">
        <f>D197*E197</f>
        <v>16.24</v>
      </c>
      <c r="H197" s="76" t="s">
        <v>352</v>
      </c>
      <c r="I197" s="150" t="s">
        <v>451</v>
      </c>
      <c r="J197" s="76"/>
      <c r="K197" s="76"/>
      <c r="L197" s="76"/>
    </row>
    <row r="198" spans="1:12" ht="15.75">
      <c r="A198" s="388" t="s">
        <v>815</v>
      </c>
      <c r="B198" s="415"/>
      <c r="C198" s="416"/>
      <c r="D198" s="20"/>
      <c r="E198" s="20"/>
      <c r="F198" s="20"/>
      <c r="G198" s="14"/>
      <c r="H198" s="14"/>
      <c r="I198" s="156"/>
      <c r="J198" s="14"/>
      <c r="K198" s="14"/>
      <c r="L198" s="14"/>
    </row>
    <row r="199" spans="1:12" ht="63">
      <c r="A199" s="32">
        <v>143</v>
      </c>
      <c r="B199" s="33" t="s">
        <v>816</v>
      </c>
      <c r="C199" s="34" t="s">
        <v>817</v>
      </c>
      <c r="D199" s="34">
        <v>10</v>
      </c>
      <c r="E199" s="34">
        <v>1.2</v>
      </c>
      <c r="F199" s="34">
        <v>2.6</v>
      </c>
      <c r="G199" s="35">
        <f>D199*E199+4.5*2.5</f>
        <v>23.25</v>
      </c>
      <c r="H199" s="36" t="s">
        <v>334</v>
      </c>
      <c r="I199" s="149" t="s">
        <v>818</v>
      </c>
      <c r="J199" s="14"/>
      <c r="K199" s="14"/>
      <c r="L199" s="14"/>
    </row>
    <row r="200" spans="1:12" ht="15.75">
      <c r="A200" s="388" t="s">
        <v>175</v>
      </c>
      <c r="B200" s="415"/>
      <c r="C200" s="416"/>
      <c r="D200" s="20"/>
      <c r="E200" s="20"/>
      <c r="F200" s="20"/>
      <c r="G200" s="14"/>
      <c r="H200" s="14"/>
      <c r="I200" s="156"/>
      <c r="J200" s="14"/>
      <c r="K200" s="14"/>
      <c r="L200" s="14"/>
    </row>
    <row r="201" spans="1:12" s="77" customFormat="1" ht="15.75">
      <c r="A201" s="72">
        <v>144</v>
      </c>
      <c r="B201" s="73" t="s">
        <v>176</v>
      </c>
      <c r="C201" s="74" t="s">
        <v>389</v>
      </c>
      <c r="D201" s="74"/>
      <c r="E201" s="74"/>
      <c r="F201" s="74"/>
      <c r="G201" s="76"/>
      <c r="H201" s="76"/>
      <c r="I201" s="157" t="s">
        <v>356</v>
      </c>
      <c r="J201" s="76"/>
      <c r="K201" s="76"/>
      <c r="L201" s="76"/>
    </row>
    <row r="202" spans="1:12" s="77" customFormat="1" ht="31.5">
      <c r="A202" s="72">
        <v>145</v>
      </c>
      <c r="B202" s="73" t="s">
        <v>177</v>
      </c>
      <c r="C202" s="74" t="s">
        <v>671</v>
      </c>
      <c r="D202" s="74">
        <v>6</v>
      </c>
      <c r="E202" s="74">
        <v>2</v>
      </c>
      <c r="F202" s="74"/>
      <c r="G202" s="75">
        <f>D202*E202</f>
        <v>12</v>
      </c>
      <c r="H202" s="76" t="s">
        <v>352</v>
      </c>
      <c r="I202" s="150" t="s">
        <v>732</v>
      </c>
      <c r="J202" s="76"/>
      <c r="K202" s="76"/>
      <c r="L202" s="76"/>
    </row>
    <row r="203" spans="1:12" ht="63">
      <c r="A203" s="32">
        <v>146</v>
      </c>
      <c r="B203" s="33" t="s">
        <v>819</v>
      </c>
      <c r="C203" s="34" t="s">
        <v>820</v>
      </c>
      <c r="D203" s="34">
        <v>5</v>
      </c>
      <c r="E203" s="34">
        <v>1.1</v>
      </c>
      <c r="F203" s="34">
        <v>2.8</v>
      </c>
      <c r="G203" s="35">
        <f>D203*E203</f>
        <v>5.5</v>
      </c>
      <c r="H203" s="36" t="s">
        <v>334</v>
      </c>
      <c r="I203" s="149"/>
      <c r="J203" s="14"/>
      <c r="K203" s="14"/>
      <c r="L203" s="14"/>
    </row>
    <row r="204" spans="1:12" ht="15.75">
      <c r="A204" s="388" t="s">
        <v>178</v>
      </c>
      <c r="B204" s="415"/>
      <c r="C204" s="416"/>
      <c r="D204" s="20"/>
      <c r="E204" s="20"/>
      <c r="F204" s="20"/>
      <c r="G204" s="14"/>
      <c r="H204" s="14"/>
      <c r="I204" s="156"/>
      <c r="J204" s="14"/>
      <c r="K204" s="14"/>
      <c r="L204" s="14"/>
    </row>
    <row r="205" spans="1:12" ht="15.75">
      <c r="A205" s="413">
        <v>147</v>
      </c>
      <c r="B205" s="411" t="s">
        <v>404</v>
      </c>
      <c r="C205" s="13" t="s">
        <v>341</v>
      </c>
      <c r="D205" s="13">
        <v>3.7</v>
      </c>
      <c r="E205" s="13">
        <v>2.3</v>
      </c>
      <c r="F205" s="13"/>
      <c r="G205" s="31">
        <f>D205*E205</f>
        <v>8.51</v>
      </c>
      <c r="H205" s="14" t="s">
        <v>332</v>
      </c>
      <c r="I205" s="148"/>
      <c r="J205" s="14"/>
      <c r="K205" s="14"/>
      <c r="L205" s="14"/>
    </row>
    <row r="206" spans="1:12" s="37" customFormat="1" ht="78.75">
      <c r="A206" s="414"/>
      <c r="B206" s="412"/>
      <c r="C206" s="34" t="s">
        <v>516</v>
      </c>
      <c r="D206" s="34">
        <v>11.3</v>
      </c>
      <c r="E206" s="34">
        <v>3.1</v>
      </c>
      <c r="F206" s="34">
        <v>2.8</v>
      </c>
      <c r="G206" s="35">
        <f>D206*E206-G205</f>
        <v>26.520000000000003</v>
      </c>
      <c r="H206" s="36" t="s">
        <v>332</v>
      </c>
      <c r="I206" s="149" t="s">
        <v>546</v>
      </c>
      <c r="J206" s="36"/>
      <c r="K206" s="36"/>
      <c r="L206" s="36"/>
    </row>
    <row r="207" spans="1:12" s="77" customFormat="1" ht="63">
      <c r="A207" s="72">
        <v>148</v>
      </c>
      <c r="B207" s="73" t="s">
        <v>406</v>
      </c>
      <c r="C207" s="79" t="s">
        <v>547</v>
      </c>
      <c r="D207" s="79">
        <v>5.54</v>
      </c>
      <c r="E207" s="79">
        <v>3.3</v>
      </c>
      <c r="F207" s="79">
        <v>2</v>
      </c>
      <c r="G207" s="88">
        <f>D207*E207-1.5*1.1*2</f>
        <v>14.982</v>
      </c>
      <c r="H207" s="89" t="s">
        <v>332</v>
      </c>
      <c r="I207" s="153" t="s">
        <v>407</v>
      </c>
      <c r="J207" s="76"/>
      <c r="K207" s="76"/>
      <c r="L207" s="76"/>
    </row>
    <row r="208" spans="1:12" s="77" customFormat="1" ht="77.25">
      <c r="A208" s="90">
        <v>149</v>
      </c>
      <c r="B208" s="91" t="s">
        <v>422</v>
      </c>
      <c r="C208" s="74" t="s">
        <v>702</v>
      </c>
      <c r="D208" s="74">
        <v>11.2</v>
      </c>
      <c r="E208" s="74">
        <v>3.6</v>
      </c>
      <c r="F208" s="74">
        <v>2.5</v>
      </c>
      <c r="G208" s="75">
        <f>D208*E208</f>
        <v>40.32</v>
      </c>
      <c r="H208" s="76" t="s">
        <v>332</v>
      </c>
      <c r="I208" s="150" t="s">
        <v>517</v>
      </c>
      <c r="J208" s="76"/>
      <c r="K208" s="76"/>
      <c r="L208" s="76"/>
    </row>
    <row r="209" spans="1:12" s="77" customFormat="1" ht="15.75">
      <c r="A209" s="72">
        <v>150</v>
      </c>
      <c r="B209" s="73" t="s">
        <v>180</v>
      </c>
      <c r="C209" s="74" t="s">
        <v>389</v>
      </c>
      <c r="D209" s="74"/>
      <c r="E209" s="74"/>
      <c r="F209" s="74"/>
      <c r="G209" s="76"/>
      <c r="H209" s="76"/>
      <c r="I209" s="157"/>
      <c r="J209" s="76"/>
      <c r="K209" s="76"/>
      <c r="L209" s="76"/>
    </row>
    <row r="210" spans="1:12" s="77" customFormat="1" ht="15.75">
      <c r="A210" s="72">
        <v>151</v>
      </c>
      <c r="B210" s="73" t="s">
        <v>181</v>
      </c>
      <c r="C210" s="74" t="s">
        <v>389</v>
      </c>
      <c r="D210" s="74"/>
      <c r="E210" s="74"/>
      <c r="F210" s="74"/>
      <c r="G210" s="76"/>
      <c r="H210" s="76"/>
      <c r="I210" s="157"/>
      <c r="J210" s="76"/>
      <c r="K210" s="76"/>
      <c r="L210" s="76"/>
    </row>
    <row r="211" spans="1:12" s="77" customFormat="1" ht="47.25">
      <c r="A211" s="72">
        <v>152</v>
      </c>
      <c r="B211" s="73" t="s">
        <v>182</v>
      </c>
      <c r="C211" s="74" t="s">
        <v>548</v>
      </c>
      <c r="D211" s="74">
        <v>6</v>
      </c>
      <c r="E211" s="74">
        <v>3</v>
      </c>
      <c r="F211" s="74"/>
      <c r="G211" s="75">
        <f>D211*E211-G210</f>
        <v>18</v>
      </c>
      <c r="H211" s="76" t="s">
        <v>352</v>
      </c>
      <c r="I211" s="150" t="s">
        <v>408</v>
      </c>
      <c r="J211" s="76"/>
      <c r="K211" s="76"/>
      <c r="L211" s="76"/>
    </row>
    <row r="212" spans="1:12" s="37" customFormat="1" ht="47.25">
      <c r="A212" s="32">
        <v>153</v>
      </c>
      <c r="B212" s="33" t="s">
        <v>183</v>
      </c>
      <c r="C212" s="34" t="s">
        <v>518</v>
      </c>
      <c r="D212" s="34">
        <v>4.8</v>
      </c>
      <c r="E212" s="34">
        <v>2.05</v>
      </c>
      <c r="F212" s="34">
        <v>2.4</v>
      </c>
      <c r="G212" s="35">
        <f>D212*E212+2.05*0.4</f>
        <v>10.659999999999998</v>
      </c>
      <c r="H212" s="36" t="s">
        <v>332</v>
      </c>
      <c r="I212" s="149" t="s">
        <v>405</v>
      </c>
      <c r="J212" s="36"/>
      <c r="K212" s="36"/>
      <c r="L212" s="36"/>
    </row>
    <row r="213" spans="1:12" s="77" customFormat="1" ht="15.75">
      <c r="A213" s="72">
        <v>154</v>
      </c>
      <c r="B213" s="73" t="s">
        <v>184</v>
      </c>
      <c r="C213" s="74" t="s">
        <v>389</v>
      </c>
      <c r="D213" s="74"/>
      <c r="E213" s="74"/>
      <c r="F213" s="74"/>
      <c r="G213" s="76"/>
      <c r="H213" s="76"/>
      <c r="I213" s="157"/>
      <c r="J213" s="76"/>
      <c r="K213" s="76"/>
      <c r="L213" s="76"/>
    </row>
    <row r="214" spans="1:12" s="77" customFormat="1" ht="15.75">
      <c r="A214" s="72">
        <v>155</v>
      </c>
      <c r="B214" s="73" t="s">
        <v>185</v>
      </c>
      <c r="C214" s="74" t="s">
        <v>389</v>
      </c>
      <c r="D214" s="74"/>
      <c r="E214" s="74"/>
      <c r="F214" s="74"/>
      <c r="G214" s="76"/>
      <c r="H214" s="76"/>
      <c r="I214" s="157"/>
      <c r="J214" s="76"/>
      <c r="K214" s="76"/>
      <c r="L214" s="76"/>
    </row>
    <row r="215" spans="1:12" s="37" customFormat="1" ht="63">
      <c r="A215" s="32">
        <v>156</v>
      </c>
      <c r="B215" s="33" t="s">
        <v>186</v>
      </c>
      <c r="C215" s="34" t="s">
        <v>715</v>
      </c>
      <c r="D215" s="34">
        <v>4.82</v>
      </c>
      <c r="E215" s="34">
        <v>1.66</v>
      </c>
      <c r="F215" s="34">
        <v>2.7</v>
      </c>
      <c r="G215" s="35">
        <f>D215*E215</f>
        <v>8.0012</v>
      </c>
      <c r="H215" s="36" t="s">
        <v>332</v>
      </c>
      <c r="I215" s="149" t="s">
        <v>409</v>
      </c>
      <c r="J215" s="36"/>
      <c r="K215" s="36"/>
      <c r="L215" s="36"/>
    </row>
    <row r="216" spans="1:12" ht="15.75">
      <c r="A216" s="388" t="s">
        <v>187</v>
      </c>
      <c r="B216" s="415"/>
      <c r="C216" s="416"/>
      <c r="D216" s="20"/>
      <c r="E216" s="20"/>
      <c r="F216" s="20"/>
      <c r="G216" s="14"/>
      <c r="H216" s="14"/>
      <c r="I216" s="156"/>
      <c r="J216" s="14"/>
      <c r="K216" s="14"/>
      <c r="L216" s="14"/>
    </row>
    <row r="217" spans="1:12" s="77" customFormat="1" ht="15.75">
      <c r="A217" s="72">
        <v>157</v>
      </c>
      <c r="B217" s="73" t="s">
        <v>123</v>
      </c>
      <c r="C217" s="74" t="s">
        <v>389</v>
      </c>
      <c r="D217" s="74"/>
      <c r="E217" s="74"/>
      <c r="F217" s="74"/>
      <c r="G217" s="76"/>
      <c r="H217" s="76"/>
      <c r="I217" s="157"/>
      <c r="J217" s="76"/>
      <c r="K217" s="76"/>
      <c r="L217" s="76"/>
    </row>
    <row r="218" spans="1:12" s="47" customFormat="1" ht="67.5" customHeight="1">
      <c r="A218" s="48">
        <v>158</v>
      </c>
      <c r="B218" s="49" t="s">
        <v>188</v>
      </c>
      <c r="C218" s="44" t="s">
        <v>519</v>
      </c>
      <c r="D218" s="44">
        <v>6.1</v>
      </c>
      <c r="E218" s="44">
        <v>3.4</v>
      </c>
      <c r="F218" s="44">
        <v>2.35</v>
      </c>
      <c r="G218" s="45">
        <f>D218*E218</f>
        <v>20.74</v>
      </c>
      <c r="H218" s="46" t="s">
        <v>332</v>
      </c>
      <c r="I218" s="151" t="s">
        <v>446</v>
      </c>
      <c r="J218" s="46"/>
      <c r="K218" s="46"/>
      <c r="L218" s="46"/>
    </row>
    <row r="219" spans="1:12" s="93" customFormat="1" ht="31.5">
      <c r="A219" s="92">
        <v>159</v>
      </c>
      <c r="B219" s="78" t="s">
        <v>189</v>
      </c>
      <c r="C219" s="79" t="s">
        <v>389</v>
      </c>
      <c r="D219" s="79"/>
      <c r="E219" s="79"/>
      <c r="F219" s="79"/>
      <c r="G219" s="89"/>
      <c r="H219" s="89"/>
      <c r="I219" s="154" t="s">
        <v>860</v>
      </c>
      <c r="J219" s="89"/>
      <c r="K219" s="89"/>
      <c r="L219" s="89"/>
    </row>
    <row r="220" spans="1:12" s="47" customFormat="1" ht="63">
      <c r="A220" s="42">
        <v>160</v>
      </c>
      <c r="B220" s="43" t="s">
        <v>190</v>
      </c>
      <c r="C220" s="44" t="s">
        <v>520</v>
      </c>
      <c r="D220" s="44">
        <v>5.75</v>
      </c>
      <c r="E220" s="44">
        <v>2.75</v>
      </c>
      <c r="F220" s="44">
        <v>2.1</v>
      </c>
      <c r="G220" s="45">
        <f>D220*E220</f>
        <v>15.8125</v>
      </c>
      <c r="H220" s="46" t="s">
        <v>332</v>
      </c>
      <c r="I220" s="151" t="s">
        <v>447</v>
      </c>
      <c r="J220" s="46"/>
      <c r="K220" s="46"/>
      <c r="L220" s="46"/>
    </row>
    <row r="221" spans="1:12" s="37" customFormat="1" ht="64.5">
      <c r="A221" s="38">
        <v>161</v>
      </c>
      <c r="B221" s="39" t="s">
        <v>191</v>
      </c>
      <c r="C221" s="34" t="s">
        <v>549</v>
      </c>
      <c r="D221" s="34">
        <v>6.3</v>
      </c>
      <c r="E221" s="34">
        <v>3</v>
      </c>
      <c r="F221" s="34">
        <v>2.55</v>
      </c>
      <c r="G221" s="35">
        <f>D221*E221</f>
        <v>18.9</v>
      </c>
      <c r="H221" s="36" t="s">
        <v>334</v>
      </c>
      <c r="I221" s="149" t="s">
        <v>521</v>
      </c>
      <c r="J221" s="36"/>
      <c r="K221" s="36"/>
      <c r="L221" s="36"/>
    </row>
    <row r="222" spans="1:12" s="47" customFormat="1" ht="67.5" customHeight="1">
      <c r="A222" s="48">
        <v>162</v>
      </c>
      <c r="B222" s="49" t="s">
        <v>192</v>
      </c>
      <c r="C222" s="44" t="s">
        <v>550</v>
      </c>
      <c r="D222" s="44">
        <v>6.55</v>
      </c>
      <c r="E222" s="44">
        <v>3</v>
      </c>
      <c r="F222" s="44">
        <v>2.58</v>
      </c>
      <c r="G222" s="45">
        <f>D222*E222</f>
        <v>19.65</v>
      </c>
      <c r="H222" s="46" t="s">
        <v>334</v>
      </c>
      <c r="I222" s="151" t="s">
        <v>343</v>
      </c>
      <c r="J222" s="46"/>
      <c r="K222" s="46"/>
      <c r="L222" s="46"/>
    </row>
    <row r="223" spans="1:12" ht="15.75">
      <c r="A223" s="388" t="s">
        <v>193</v>
      </c>
      <c r="B223" s="415"/>
      <c r="C223" s="416"/>
      <c r="D223" s="20"/>
      <c r="E223" s="20"/>
      <c r="F223" s="20"/>
      <c r="G223" s="14"/>
      <c r="H223" s="14"/>
      <c r="I223" s="156"/>
      <c r="J223" s="14"/>
      <c r="K223" s="14"/>
      <c r="L223" s="14"/>
    </row>
    <row r="224" spans="1:12" s="37" customFormat="1" ht="63">
      <c r="A224" s="32">
        <v>163</v>
      </c>
      <c r="B224" s="33" t="s">
        <v>194</v>
      </c>
      <c r="C224" s="34" t="s">
        <v>522</v>
      </c>
      <c r="D224" s="34">
        <v>6.1</v>
      </c>
      <c r="E224" s="34">
        <v>2.5</v>
      </c>
      <c r="F224" s="34">
        <v>2.4</v>
      </c>
      <c r="G224" s="35">
        <f>D224*E224</f>
        <v>15.25</v>
      </c>
      <c r="H224" s="36" t="s">
        <v>332</v>
      </c>
      <c r="I224" s="149" t="s">
        <v>551</v>
      </c>
      <c r="J224" s="36"/>
      <c r="K224" s="36"/>
      <c r="L224" s="36"/>
    </row>
    <row r="225" spans="1:12" ht="15.75">
      <c r="A225" s="413">
        <v>164</v>
      </c>
      <c r="B225" s="411" t="s">
        <v>195</v>
      </c>
      <c r="C225" s="13" t="s">
        <v>341</v>
      </c>
      <c r="D225" s="13">
        <v>4.52</v>
      </c>
      <c r="E225" s="13">
        <v>2.5</v>
      </c>
      <c r="F225" s="13"/>
      <c r="G225" s="31">
        <f>D225*E225-1*0.97/2</f>
        <v>10.815</v>
      </c>
      <c r="H225" s="14" t="s">
        <v>332</v>
      </c>
      <c r="I225" s="148"/>
      <c r="J225" s="14"/>
      <c r="K225" s="14"/>
      <c r="L225" s="14"/>
    </row>
    <row r="226" spans="1:12" s="37" customFormat="1" ht="78.75">
      <c r="A226" s="414"/>
      <c r="B226" s="412"/>
      <c r="C226" s="34" t="s">
        <v>523</v>
      </c>
      <c r="D226" s="34">
        <v>13.5</v>
      </c>
      <c r="E226" s="34">
        <v>3.5</v>
      </c>
      <c r="F226" s="34">
        <v>2.7</v>
      </c>
      <c r="G226" s="35">
        <f>D226*E226-G225</f>
        <v>36.435</v>
      </c>
      <c r="H226" s="36" t="s">
        <v>332</v>
      </c>
      <c r="I226" s="149" t="s">
        <v>524</v>
      </c>
      <c r="J226" s="36"/>
      <c r="K226" s="36"/>
      <c r="L226" s="36"/>
    </row>
    <row r="227" spans="1:12" s="37" customFormat="1" ht="78.75">
      <c r="A227" s="38">
        <v>165</v>
      </c>
      <c r="B227" s="39" t="s">
        <v>196</v>
      </c>
      <c r="C227" s="34" t="s">
        <v>525</v>
      </c>
      <c r="D227" s="34">
        <v>6.4</v>
      </c>
      <c r="E227" s="34">
        <v>1.6</v>
      </c>
      <c r="F227" s="34">
        <v>2.5</v>
      </c>
      <c r="G227" s="35">
        <f>D227*E227</f>
        <v>10.240000000000002</v>
      </c>
      <c r="H227" s="36" t="s">
        <v>334</v>
      </c>
      <c r="I227" s="149" t="s">
        <v>343</v>
      </c>
      <c r="J227" s="36"/>
      <c r="K227" s="36"/>
      <c r="L227" s="36"/>
    </row>
    <row r="228" spans="1:12" s="37" customFormat="1" ht="39">
      <c r="A228" s="32">
        <v>166</v>
      </c>
      <c r="B228" s="33" t="s">
        <v>197</v>
      </c>
      <c r="C228" s="34" t="s">
        <v>430</v>
      </c>
      <c r="D228" s="34">
        <v>6</v>
      </c>
      <c r="E228" s="34">
        <v>2</v>
      </c>
      <c r="F228" s="34"/>
      <c r="G228" s="35">
        <f>D228*E228</f>
        <v>12</v>
      </c>
      <c r="H228" s="36"/>
      <c r="I228" s="149" t="s">
        <v>431</v>
      </c>
      <c r="J228" s="36"/>
      <c r="K228" s="36"/>
      <c r="L228" s="36"/>
    </row>
    <row r="229" spans="1:12" ht="15.75">
      <c r="A229" s="388" t="s">
        <v>198</v>
      </c>
      <c r="B229" s="415"/>
      <c r="C229" s="416"/>
      <c r="D229" s="20"/>
      <c r="E229" s="20"/>
      <c r="F229" s="20"/>
      <c r="G229" s="14"/>
      <c r="H229" s="14"/>
      <c r="I229" s="156"/>
      <c r="J229" s="14"/>
      <c r="K229" s="14"/>
      <c r="L229" s="14"/>
    </row>
    <row r="230" spans="1:12" s="47" customFormat="1" ht="47.25">
      <c r="A230" s="42">
        <v>167</v>
      </c>
      <c r="B230" s="43" t="s">
        <v>199</v>
      </c>
      <c r="C230" s="44" t="s">
        <v>560</v>
      </c>
      <c r="D230" s="44">
        <v>6</v>
      </c>
      <c r="E230" s="44">
        <v>2</v>
      </c>
      <c r="F230" s="44"/>
      <c r="G230" s="45">
        <f>D230*E230</f>
        <v>12</v>
      </c>
      <c r="H230" s="46" t="s">
        <v>332</v>
      </c>
      <c r="I230" s="151" t="s">
        <v>429</v>
      </c>
      <c r="J230" s="46"/>
      <c r="K230" s="46"/>
      <c r="L230" s="46"/>
    </row>
    <row r="231" spans="1:12" s="37" customFormat="1" ht="63">
      <c r="A231" s="38">
        <v>168</v>
      </c>
      <c r="B231" s="39" t="s">
        <v>200</v>
      </c>
      <c r="C231" s="34" t="s">
        <v>552</v>
      </c>
      <c r="D231" s="34">
        <v>11.1</v>
      </c>
      <c r="E231" s="34">
        <v>3.6</v>
      </c>
      <c r="F231" s="34">
        <v>2.55</v>
      </c>
      <c r="G231" s="35">
        <f>D231*E231</f>
        <v>39.96</v>
      </c>
      <c r="H231" s="36" t="s">
        <v>332</v>
      </c>
      <c r="I231" s="149" t="s">
        <v>526</v>
      </c>
      <c r="J231" s="36"/>
      <c r="K231" s="36"/>
      <c r="L231" s="36"/>
    </row>
    <row r="232" spans="1:12" ht="15.75">
      <c r="A232" s="388" t="s">
        <v>201</v>
      </c>
      <c r="B232" s="415"/>
      <c r="C232" s="416"/>
      <c r="D232" s="20"/>
      <c r="E232" s="20"/>
      <c r="F232" s="20"/>
      <c r="G232" s="14"/>
      <c r="H232" s="14"/>
      <c r="I232" s="156"/>
      <c r="J232" s="14"/>
      <c r="K232" s="14"/>
      <c r="L232" s="14"/>
    </row>
    <row r="233" spans="1:12" ht="63">
      <c r="A233" s="32">
        <v>169</v>
      </c>
      <c r="B233" s="33" t="s">
        <v>648</v>
      </c>
      <c r="C233" s="34" t="s">
        <v>649</v>
      </c>
      <c r="D233" s="34">
        <v>4.05</v>
      </c>
      <c r="E233" s="34">
        <v>2.1</v>
      </c>
      <c r="F233" s="34">
        <v>2.15</v>
      </c>
      <c r="G233" s="35">
        <f>D233*E233</f>
        <v>8.505</v>
      </c>
      <c r="H233" s="36" t="s">
        <v>332</v>
      </c>
      <c r="I233" s="149" t="s">
        <v>650</v>
      </c>
      <c r="J233" s="14"/>
      <c r="K233" s="14"/>
      <c r="L233" s="14"/>
    </row>
    <row r="234" spans="1:12" ht="51.75">
      <c r="A234" s="32">
        <v>170</v>
      </c>
      <c r="B234" s="33" t="s">
        <v>203</v>
      </c>
      <c r="C234" s="34" t="s">
        <v>651</v>
      </c>
      <c r="D234" s="34">
        <v>9</v>
      </c>
      <c r="E234" s="34">
        <v>4</v>
      </c>
      <c r="F234" s="34">
        <v>2.75</v>
      </c>
      <c r="G234" s="35">
        <f>D234*E234</f>
        <v>36</v>
      </c>
      <c r="H234" s="36" t="s">
        <v>332</v>
      </c>
      <c r="I234" s="149" t="s">
        <v>652</v>
      </c>
      <c r="J234" s="14"/>
      <c r="K234" s="14"/>
      <c r="L234" s="14"/>
    </row>
    <row r="235" spans="1:12" s="77" customFormat="1" ht="15.75">
      <c r="A235" s="72">
        <v>171</v>
      </c>
      <c r="B235" s="73" t="s">
        <v>204</v>
      </c>
      <c r="C235" s="74" t="s">
        <v>389</v>
      </c>
      <c r="D235" s="74"/>
      <c r="E235" s="74"/>
      <c r="F235" s="74"/>
      <c r="G235" s="76"/>
      <c r="H235" s="76"/>
      <c r="I235" s="157" t="s">
        <v>356</v>
      </c>
      <c r="J235" s="76"/>
      <c r="K235" s="76"/>
      <c r="L235" s="76"/>
    </row>
    <row r="236" spans="1:12" ht="15.75">
      <c r="A236" s="388" t="s">
        <v>321</v>
      </c>
      <c r="B236" s="415"/>
      <c r="C236" s="416"/>
      <c r="D236" s="20"/>
      <c r="E236" s="20"/>
      <c r="F236" s="20"/>
      <c r="G236" s="14"/>
      <c r="H236" s="14"/>
      <c r="I236" s="156"/>
      <c r="J236" s="14"/>
      <c r="K236" s="14"/>
      <c r="L236" s="14"/>
    </row>
    <row r="237" spans="1:12" ht="63">
      <c r="A237" s="32">
        <v>172</v>
      </c>
      <c r="B237" s="33" t="s">
        <v>207</v>
      </c>
      <c r="C237" s="34" t="s">
        <v>697</v>
      </c>
      <c r="D237" s="34">
        <v>12.1</v>
      </c>
      <c r="E237" s="34">
        <v>5.5</v>
      </c>
      <c r="F237" s="34">
        <v>2.2</v>
      </c>
      <c r="G237" s="35">
        <f>D237*E237</f>
        <v>66.55</v>
      </c>
      <c r="H237" s="36" t="s">
        <v>334</v>
      </c>
      <c r="I237" s="149" t="s">
        <v>698</v>
      </c>
      <c r="J237" s="14"/>
      <c r="K237" s="14"/>
      <c r="L237" s="14"/>
    </row>
    <row r="238" spans="1:12" ht="51.75">
      <c r="A238" s="32">
        <v>173</v>
      </c>
      <c r="B238" s="33" t="s">
        <v>208</v>
      </c>
      <c r="C238" s="34" t="s">
        <v>693</v>
      </c>
      <c r="D238" s="34">
        <v>18.2</v>
      </c>
      <c r="E238" s="34">
        <v>2.5</v>
      </c>
      <c r="F238" s="34"/>
      <c r="G238" s="35">
        <f>D238*E238</f>
        <v>45.5</v>
      </c>
      <c r="H238" s="36" t="s">
        <v>332</v>
      </c>
      <c r="I238" s="149" t="s">
        <v>694</v>
      </c>
      <c r="J238" s="14"/>
      <c r="K238" s="14"/>
      <c r="L238" s="14"/>
    </row>
    <row r="239" spans="1:12" ht="15.75">
      <c r="A239" s="413">
        <v>174</v>
      </c>
      <c r="B239" s="411" t="s">
        <v>209</v>
      </c>
      <c r="C239" s="13" t="s">
        <v>688</v>
      </c>
      <c r="D239" s="13">
        <v>3.55</v>
      </c>
      <c r="E239" s="13">
        <v>2</v>
      </c>
      <c r="F239" s="13"/>
      <c r="G239" s="31">
        <f>D239*E239</f>
        <v>7.1</v>
      </c>
      <c r="H239" s="14"/>
      <c r="I239" s="156"/>
      <c r="J239" s="14"/>
      <c r="K239" s="14"/>
      <c r="L239" s="14"/>
    </row>
    <row r="240" spans="1:12" ht="78.75">
      <c r="A240" s="414"/>
      <c r="B240" s="412"/>
      <c r="C240" s="34" t="s">
        <v>691</v>
      </c>
      <c r="D240" s="34">
        <v>74.5</v>
      </c>
      <c r="E240" s="34">
        <v>3.7</v>
      </c>
      <c r="F240" s="34">
        <v>2.6</v>
      </c>
      <c r="G240" s="35">
        <f>D240*E240-G238</f>
        <v>230.15000000000003</v>
      </c>
      <c r="H240" s="36" t="s">
        <v>332</v>
      </c>
      <c r="I240" s="149" t="s">
        <v>692</v>
      </c>
      <c r="J240" s="14"/>
      <c r="K240" s="14"/>
      <c r="L240" s="14"/>
    </row>
    <row r="241" spans="1:12" ht="15.75">
      <c r="A241" s="413">
        <v>175</v>
      </c>
      <c r="B241" s="411" t="s">
        <v>687</v>
      </c>
      <c r="C241" s="13" t="s">
        <v>688</v>
      </c>
      <c r="D241" s="13">
        <v>5.2</v>
      </c>
      <c r="E241" s="13">
        <v>3.35</v>
      </c>
      <c r="F241" s="13"/>
      <c r="G241" s="31">
        <f>D241*E241</f>
        <v>17.42</v>
      </c>
      <c r="H241" s="14"/>
      <c r="I241" s="156"/>
      <c r="J241" s="14"/>
      <c r="K241" s="14"/>
      <c r="L241" s="14"/>
    </row>
    <row r="242" spans="1:12" ht="63">
      <c r="A242" s="414"/>
      <c r="B242" s="412"/>
      <c r="C242" s="34" t="s">
        <v>689</v>
      </c>
      <c r="D242" s="34">
        <v>57.4</v>
      </c>
      <c r="E242" s="34">
        <v>4.6</v>
      </c>
      <c r="F242" s="34">
        <v>3.6</v>
      </c>
      <c r="G242" s="35">
        <f>D242*E242-G241</f>
        <v>246.61999999999995</v>
      </c>
      <c r="H242" s="36" t="s">
        <v>332</v>
      </c>
      <c r="I242" s="149" t="s">
        <v>690</v>
      </c>
      <c r="J242" s="14"/>
      <c r="K242" s="14"/>
      <c r="L242" s="14"/>
    </row>
    <row r="243" spans="1:12" ht="15.75">
      <c r="A243" s="413">
        <v>176</v>
      </c>
      <c r="B243" s="411" t="s">
        <v>210</v>
      </c>
      <c r="C243" s="13" t="s">
        <v>685</v>
      </c>
      <c r="D243" s="13">
        <v>7.5</v>
      </c>
      <c r="E243" s="13">
        <v>3.35</v>
      </c>
      <c r="F243" s="13"/>
      <c r="G243" s="31">
        <f>D243*E243+4*3.35*2</f>
        <v>51.925</v>
      </c>
      <c r="H243" s="14"/>
      <c r="I243" s="156"/>
      <c r="J243" s="14"/>
      <c r="K243" s="14"/>
      <c r="L243" s="14"/>
    </row>
    <row r="244" spans="1:12" ht="63">
      <c r="A244" s="414"/>
      <c r="B244" s="412"/>
      <c r="C244" s="34" t="s">
        <v>686</v>
      </c>
      <c r="D244" s="34">
        <v>93</v>
      </c>
      <c r="E244" s="34">
        <v>4.6</v>
      </c>
      <c r="F244" s="34">
        <v>3.6</v>
      </c>
      <c r="G244" s="35">
        <f>D244*E244-G243</f>
        <v>375.87499999999994</v>
      </c>
      <c r="H244" s="36" t="s">
        <v>332</v>
      </c>
      <c r="I244" s="149" t="s">
        <v>634</v>
      </c>
      <c r="J244" s="14"/>
      <c r="K244" s="14"/>
      <c r="L244" s="14"/>
    </row>
    <row r="245" spans="1:12" ht="47.25">
      <c r="A245" s="32">
        <v>177</v>
      </c>
      <c r="B245" s="33" t="s">
        <v>683</v>
      </c>
      <c r="C245" s="34" t="s">
        <v>684</v>
      </c>
      <c r="D245" s="34">
        <v>25.7</v>
      </c>
      <c r="E245" s="34">
        <v>3.8</v>
      </c>
      <c r="F245" s="34"/>
      <c r="G245" s="35">
        <f>D245*E245</f>
        <v>97.66</v>
      </c>
      <c r="H245" s="36" t="s">
        <v>332</v>
      </c>
      <c r="I245" s="149" t="s">
        <v>532</v>
      </c>
      <c r="J245" s="14"/>
      <c r="K245" s="14"/>
      <c r="L245" s="14"/>
    </row>
    <row r="246" spans="1:12" ht="63">
      <c r="A246" s="32">
        <v>178</v>
      </c>
      <c r="B246" s="33" t="s">
        <v>680</v>
      </c>
      <c r="C246" s="34" t="s">
        <v>681</v>
      </c>
      <c r="D246" s="34">
        <v>5.5</v>
      </c>
      <c r="E246" s="34">
        <v>3.4</v>
      </c>
      <c r="F246" s="34">
        <v>2.3</v>
      </c>
      <c r="G246" s="35">
        <f>D246*E246</f>
        <v>18.7</v>
      </c>
      <c r="H246" s="36" t="s">
        <v>332</v>
      </c>
      <c r="I246" s="149" t="s">
        <v>682</v>
      </c>
      <c r="J246" s="14"/>
      <c r="K246" s="14"/>
      <c r="L246" s="14"/>
    </row>
    <row r="247" spans="1:12" ht="39">
      <c r="A247" s="32">
        <v>179</v>
      </c>
      <c r="B247" s="33" t="s">
        <v>825</v>
      </c>
      <c r="C247" s="34" t="s">
        <v>826</v>
      </c>
      <c r="D247" s="34">
        <v>12</v>
      </c>
      <c r="E247" s="34">
        <v>1.5</v>
      </c>
      <c r="F247" s="34"/>
      <c r="G247" s="35">
        <f>D247*E247</f>
        <v>18</v>
      </c>
      <c r="H247" s="36" t="s">
        <v>332</v>
      </c>
      <c r="I247" s="149" t="s">
        <v>823</v>
      </c>
      <c r="J247" s="14"/>
      <c r="K247" s="14"/>
      <c r="L247" s="14"/>
    </row>
    <row r="248" spans="1:12" ht="39">
      <c r="A248" s="32">
        <v>180</v>
      </c>
      <c r="B248" s="33" t="s">
        <v>213</v>
      </c>
      <c r="C248" s="34" t="s">
        <v>822</v>
      </c>
      <c r="D248" s="34">
        <v>6</v>
      </c>
      <c r="E248" s="34">
        <v>1.2</v>
      </c>
      <c r="F248" s="34"/>
      <c r="G248" s="35">
        <f>D248*E248</f>
        <v>7.199999999999999</v>
      </c>
      <c r="H248" s="36" t="s">
        <v>332</v>
      </c>
      <c r="I248" s="149" t="s">
        <v>823</v>
      </c>
      <c r="J248" s="14"/>
      <c r="K248" s="14"/>
      <c r="L248" s="14"/>
    </row>
    <row r="249" spans="1:12" ht="39">
      <c r="A249" s="32">
        <v>181</v>
      </c>
      <c r="B249" s="33" t="s">
        <v>214</v>
      </c>
      <c r="C249" s="34" t="s">
        <v>821</v>
      </c>
      <c r="D249" s="34">
        <v>5.5</v>
      </c>
      <c r="E249" s="34">
        <v>1.2</v>
      </c>
      <c r="F249" s="34"/>
      <c r="G249" s="35">
        <f>D249*E249</f>
        <v>6.6</v>
      </c>
      <c r="H249" s="36" t="s">
        <v>332</v>
      </c>
      <c r="I249" s="149" t="s">
        <v>824</v>
      </c>
      <c r="J249" s="14"/>
      <c r="K249" s="14"/>
      <c r="L249" s="14"/>
    </row>
    <row r="250" spans="1:12" ht="15.75">
      <c r="A250" s="388" t="s">
        <v>215</v>
      </c>
      <c r="B250" s="415"/>
      <c r="C250" s="416"/>
      <c r="D250" s="20"/>
      <c r="E250" s="20"/>
      <c r="F250" s="20"/>
      <c r="G250" s="14"/>
      <c r="H250" s="14"/>
      <c r="I250" s="156"/>
      <c r="J250" s="14"/>
      <c r="K250" s="14"/>
      <c r="L250" s="14"/>
    </row>
    <row r="251" spans="1:12" s="47" customFormat="1" ht="38.25">
      <c r="A251" s="42">
        <v>182</v>
      </c>
      <c r="B251" s="43" t="s">
        <v>216</v>
      </c>
      <c r="C251" s="44" t="s">
        <v>378</v>
      </c>
      <c r="D251" s="44">
        <v>6.3</v>
      </c>
      <c r="E251" s="44">
        <v>1.15</v>
      </c>
      <c r="F251" s="44"/>
      <c r="G251" s="45">
        <f>D251*E251</f>
        <v>7.244999999999999</v>
      </c>
      <c r="H251" s="46"/>
      <c r="I251" s="151" t="s">
        <v>379</v>
      </c>
      <c r="J251" s="46"/>
      <c r="K251" s="46"/>
      <c r="L251" s="46"/>
    </row>
    <row r="252" spans="1:12" s="37" customFormat="1" ht="63">
      <c r="A252" s="38">
        <v>183</v>
      </c>
      <c r="B252" s="39" t="s">
        <v>553</v>
      </c>
      <c r="C252" s="34" t="s">
        <v>527</v>
      </c>
      <c r="D252" s="34">
        <v>6.25</v>
      </c>
      <c r="E252" s="34">
        <v>1.15</v>
      </c>
      <c r="F252" s="34">
        <v>2.58</v>
      </c>
      <c r="G252" s="35">
        <f>D252*E252+3.52*0.45</f>
        <v>8.7715</v>
      </c>
      <c r="H252" s="36" t="s">
        <v>332</v>
      </c>
      <c r="I252" s="149" t="s">
        <v>554</v>
      </c>
      <c r="J252" s="36"/>
      <c r="K252" s="36"/>
      <c r="L252" s="36"/>
    </row>
    <row r="253" spans="1:12" s="77" customFormat="1" ht="15.75">
      <c r="A253" s="72">
        <v>184</v>
      </c>
      <c r="B253" s="73" t="s">
        <v>217</v>
      </c>
      <c r="C253" s="74" t="s">
        <v>377</v>
      </c>
      <c r="D253" s="74"/>
      <c r="E253" s="74"/>
      <c r="F253" s="74"/>
      <c r="G253" s="76"/>
      <c r="H253" s="76"/>
      <c r="I253" s="157" t="s">
        <v>356</v>
      </c>
      <c r="J253" s="76"/>
      <c r="K253" s="76"/>
      <c r="L253" s="76"/>
    </row>
    <row r="254" spans="1:12" s="77" customFormat="1" ht="15.75">
      <c r="A254" s="72">
        <v>185</v>
      </c>
      <c r="B254" s="73" t="s">
        <v>218</v>
      </c>
      <c r="C254" s="74" t="s">
        <v>389</v>
      </c>
      <c r="D254" s="74"/>
      <c r="E254" s="74"/>
      <c r="F254" s="74"/>
      <c r="G254" s="76"/>
      <c r="H254" s="76"/>
      <c r="I254" s="157" t="s">
        <v>356</v>
      </c>
      <c r="J254" s="76"/>
      <c r="K254" s="76"/>
      <c r="L254" s="76"/>
    </row>
    <row r="255" spans="1:12" ht="15.75">
      <c r="A255" s="388" t="s">
        <v>323</v>
      </c>
      <c r="B255" s="415"/>
      <c r="C255" s="416"/>
      <c r="D255" s="20"/>
      <c r="E255" s="20"/>
      <c r="F255" s="20"/>
      <c r="G255" s="14"/>
      <c r="H255" s="14"/>
      <c r="I255" s="156"/>
      <c r="J255" s="14"/>
      <c r="K255" s="14"/>
      <c r="L255" s="14"/>
    </row>
    <row r="256" spans="1:12" s="77" customFormat="1" ht="47.25">
      <c r="A256" s="72">
        <v>186</v>
      </c>
      <c r="B256" s="73" t="s">
        <v>398</v>
      </c>
      <c r="C256" s="74" t="s">
        <v>528</v>
      </c>
      <c r="D256" s="74">
        <v>5.41</v>
      </c>
      <c r="E256" s="74">
        <v>2.85</v>
      </c>
      <c r="F256" s="74">
        <v>2.6</v>
      </c>
      <c r="G256" s="75">
        <f>D256*E256</f>
        <v>15.418500000000002</v>
      </c>
      <c r="H256" s="76" t="s">
        <v>363</v>
      </c>
      <c r="I256" s="150" t="s">
        <v>399</v>
      </c>
      <c r="J256" s="76"/>
      <c r="K256" s="76"/>
      <c r="L256" s="76"/>
    </row>
    <row r="257" spans="1:12" s="93" customFormat="1" ht="38.25">
      <c r="A257" s="92">
        <v>187</v>
      </c>
      <c r="B257" s="78" t="s">
        <v>397</v>
      </c>
      <c r="C257" s="79" t="s">
        <v>389</v>
      </c>
      <c r="D257" s="79"/>
      <c r="E257" s="79"/>
      <c r="F257" s="79"/>
      <c r="G257" s="89"/>
      <c r="H257" s="89"/>
      <c r="I257" s="153" t="s">
        <v>388</v>
      </c>
      <c r="J257" s="89"/>
      <c r="K257" s="89"/>
      <c r="L257" s="89"/>
    </row>
    <row r="258" spans="1:12" s="37" customFormat="1" ht="47.25">
      <c r="A258" s="32">
        <v>188</v>
      </c>
      <c r="B258" s="33" t="s">
        <v>395</v>
      </c>
      <c r="C258" s="34" t="s">
        <v>555</v>
      </c>
      <c r="D258" s="34">
        <v>4.83</v>
      </c>
      <c r="E258" s="34">
        <v>2.8</v>
      </c>
      <c r="F258" s="34">
        <v>2.6</v>
      </c>
      <c r="G258" s="35">
        <f>D258*E258+9.8*2.5+1.4*2.05*2</f>
        <v>43.764</v>
      </c>
      <c r="H258" s="36" t="s">
        <v>332</v>
      </c>
      <c r="I258" s="149" t="s">
        <v>396</v>
      </c>
      <c r="J258" s="36"/>
      <c r="K258" s="36"/>
      <c r="L258" s="36"/>
    </row>
    <row r="259" spans="1:12" s="93" customFormat="1" ht="38.25">
      <c r="A259" s="92">
        <v>189</v>
      </c>
      <c r="B259" s="78" t="s">
        <v>394</v>
      </c>
      <c r="C259" s="79" t="s">
        <v>389</v>
      </c>
      <c r="D259" s="79"/>
      <c r="E259" s="79"/>
      <c r="F259" s="79"/>
      <c r="G259" s="89"/>
      <c r="H259" s="89"/>
      <c r="I259" s="153" t="s">
        <v>388</v>
      </c>
      <c r="J259" s="89"/>
      <c r="K259" s="89"/>
      <c r="L259" s="89"/>
    </row>
    <row r="260" spans="1:12" s="93" customFormat="1" ht="38.25">
      <c r="A260" s="92">
        <v>190</v>
      </c>
      <c r="B260" s="78" t="s">
        <v>224</v>
      </c>
      <c r="C260" s="79" t="s">
        <v>389</v>
      </c>
      <c r="D260" s="79"/>
      <c r="E260" s="79"/>
      <c r="F260" s="79"/>
      <c r="G260" s="89"/>
      <c r="H260" s="89"/>
      <c r="I260" s="153" t="s">
        <v>388</v>
      </c>
      <c r="J260" s="89"/>
      <c r="K260" s="89"/>
      <c r="L260" s="89"/>
    </row>
    <row r="261" spans="1:12" s="47" customFormat="1" ht="39" thickBot="1">
      <c r="A261" s="42">
        <v>191</v>
      </c>
      <c r="B261" s="43" t="s">
        <v>225</v>
      </c>
      <c r="C261" s="57" t="s">
        <v>393</v>
      </c>
      <c r="D261" s="57">
        <v>6</v>
      </c>
      <c r="E261" s="57">
        <v>1.45</v>
      </c>
      <c r="F261" s="57"/>
      <c r="G261" s="58">
        <f>D261*E261</f>
        <v>8.7</v>
      </c>
      <c r="H261" s="59" t="s">
        <v>352</v>
      </c>
      <c r="I261" s="158" t="s">
        <v>388</v>
      </c>
      <c r="J261" s="46"/>
      <c r="K261" s="46"/>
      <c r="L261" s="46"/>
    </row>
    <row r="262" spans="1:12" s="47" customFormat="1" ht="76.5">
      <c r="A262" s="42">
        <v>192</v>
      </c>
      <c r="B262" s="43" t="s">
        <v>391</v>
      </c>
      <c r="C262" s="44" t="s">
        <v>556</v>
      </c>
      <c r="D262" s="44">
        <v>6.3</v>
      </c>
      <c r="E262" s="44">
        <v>3.4</v>
      </c>
      <c r="F262" s="44">
        <v>2.75</v>
      </c>
      <c r="G262" s="45">
        <f>D262*E262</f>
        <v>21.419999999999998</v>
      </c>
      <c r="H262" s="46" t="s">
        <v>352</v>
      </c>
      <c r="I262" s="151" t="s">
        <v>392</v>
      </c>
      <c r="J262" s="46"/>
      <c r="K262" s="46"/>
      <c r="L262" s="46"/>
    </row>
    <row r="263" spans="1:12" s="93" customFormat="1" ht="38.25">
      <c r="A263" s="92">
        <v>193</v>
      </c>
      <c r="B263" s="78" t="s">
        <v>390</v>
      </c>
      <c r="C263" s="79" t="s">
        <v>389</v>
      </c>
      <c r="D263" s="79"/>
      <c r="E263" s="79"/>
      <c r="F263" s="79"/>
      <c r="G263" s="89"/>
      <c r="H263" s="89"/>
      <c r="I263" s="153" t="s">
        <v>388</v>
      </c>
      <c r="J263" s="89"/>
      <c r="K263" s="89"/>
      <c r="L263" s="89"/>
    </row>
    <row r="264" spans="1:12" s="37" customFormat="1" ht="64.5">
      <c r="A264" s="32">
        <v>194</v>
      </c>
      <c r="B264" s="33" t="s">
        <v>385</v>
      </c>
      <c r="C264" s="34" t="s">
        <v>529</v>
      </c>
      <c r="D264" s="34">
        <v>5.85</v>
      </c>
      <c r="E264" s="34">
        <v>2.25</v>
      </c>
      <c r="F264" s="34">
        <v>2.5</v>
      </c>
      <c r="G264" s="35">
        <f>D264*E264</f>
        <v>13.1625</v>
      </c>
      <c r="H264" s="36" t="s">
        <v>332</v>
      </c>
      <c r="I264" s="149" t="s">
        <v>530</v>
      </c>
      <c r="J264" s="36"/>
      <c r="K264" s="36"/>
      <c r="L264" s="36"/>
    </row>
    <row r="265" spans="1:12" s="93" customFormat="1" ht="39" thickBot="1">
      <c r="A265" s="94">
        <v>195</v>
      </c>
      <c r="B265" s="95" t="s">
        <v>386</v>
      </c>
      <c r="C265" s="96" t="s">
        <v>387</v>
      </c>
      <c r="D265" s="96">
        <v>10.2</v>
      </c>
      <c r="E265" s="96">
        <v>1.45</v>
      </c>
      <c r="F265" s="96"/>
      <c r="G265" s="97">
        <f>D265*E265</f>
        <v>14.79</v>
      </c>
      <c r="H265" s="98" t="s">
        <v>352</v>
      </c>
      <c r="I265" s="159" t="s">
        <v>388</v>
      </c>
      <c r="J265" s="89"/>
      <c r="K265" s="89"/>
      <c r="L265" s="89"/>
    </row>
    <row r="266" spans="1:12" s="37" customFormat="1" ht="64.5">
      <c r="A266" s="32">
        <v>196</v>
      </c>
      <c r="B266" s="33" t="s">
        <v>808</v>
      </c>
      <c r="C266" s="34" t="s">
        <v>565</v>
      </c>
      <c r="D266" s="34">
        <v>3.08</v>
      </c>
      <c r="E266" s="34">
        <v>3.16</v>
      </c>
      <c r="F266" s="34">
        <v>2.75</v>
      </c>
      <c r="G266" s="35">
        <f>D266*E266</f>
        <v>9.732800000000001</v>
      </c>
      <c r="H266" s="36" t="s">
        <v>332</v>
      </c>
      <c r="I266" s="149" t="s">
        <v>557</v>
      </c>
      <c r="J266" s="36"/>
      <c r="K266" s="36"/>
      <c r="L266" s="36"/>
    </row>
    <row r="267" spans="1:12" s="77" customFormat="1" ht="15.75">
      <c r="A267" s="72">
        <v>197</v>
      </c>
      <c r="B267" s="73" t="s">
        <v>809</v>
      </c>
      <c r="C267" s="74" t="s">
        <v>389</v>
      </c>
      <c r="D267" s="74"/>
      <c r="E267" s="74"/>
      <c r="F267" s="74"/>
      <c r="G267" s="76"/>
      <c r="H267" s="76"/>
      <c r="I267" s="157" t="s">
        <v>356</v>
      </c>
      <c r="J267" s="76"/>
      <c r="K267" s="76"/>
      <c r="L267" s="76"/>
    </row>
    <row r="268" spans="1:12" s="37" customFormat="1" ht="64.5">
      <c r="A268" s="32">
        <v>198</v>
      </c>
      <c r="B268" s="33" t="s">
        <v>320</v>
      </c>
      <c r="C268" s="34" t="s">
        <v>566</v>
      </c>
      <c r="D268" s="34">
        <v>4.63</v>
      </c>
      <c r="E268" s="34">
        <v>2.36</v>
      </c>
      <c r="F268" s="34">
        <v>2.73</v>
      </c>
      <c r="G268" s="35">
        <f>D268*E268</f>
        <v>10.926799999999998</v>
      </c>
      <c r="H268" s="36" t="s">
        <v>332</v>
      </c>
      <c r="I268" s="149" t="s">
        <v>558</v>
      </c>
      <c r="J268" s="36"/>
      <c r="K268" s="36"/>
      <c r="L268" s="36"/>
    </row>
    <row r="269" spans="1:12" s="77" customFormat="1" ht="31.5">
      <c r="A269" s="72">
        <v>199</v>
      </c>
      <c r="B269" s="73" t="s">
        <v>807</v>
      </c>
      <c r="C269" s="74" t="s">
        <v>389</v>
      </c>
      <c r="D269" s="74"/>
      <c r="E269" s="74"/>
      <c r="F269" s="74"/>
      <c r="G269" s="76"/>
      <c r="H269" s="76"/>
      <c r="I269" s="157" t="s">
        <v>356</v>
      </c>
      <c r="J269" s="76"/>
      <c r="K269" s="76"/>
      <c r="L269" s="76"/>
    </row>
    <row r="270" spans="1:12" ht="16.5" customHeight="1">
      <c r="A270" s="422" t="s">
        <v>331</v>
      </c>
      <c r="B270" s="324"/>
      <c r="C270" s="325"/>
      <c r="D270" s="19"/>
      <c r="E270" s="19"/>
      <c r="F270" s="19"/>
      <c r="G270" s="14"/>
      <c r="H270" s="14"/>
      <c r="I270" s="156"/>
      <c r="J270" s="14"/>
      <c r="K270" s="14"/>
      <c r="L270" s="14"/>
    </row>
    <row r="271" spans="1:12" s="77" customFormat="1" ht="15.75">
      <c r="A271" s="72">
        <v>200</v>
      </c>
      <c r="B271" s="73" t="s">
        <v>113</v>
      </c>
      <c r="C271" s="74" t="s">
        <v>389</v>
      </c>
      <c r="D271" s="74"/>
      <c r="E271" s="74"/>
      <c r="F271" s="74"/>
      <c r="G271" s="76"/>
      <c r="H271" s="76"/>
      <c r="I271" s="157"/>
      <c r="J271" s="76"/>
      <c r="K271" s="76"/>
      <c r="L271" s="76"/>
    </row>
    <row r="272" spans="1:12" s="47" customFormat="1" ht="63.75">
      <c r="A272" s="42">
        <v>201</v>
      </c>
      <c r="B272" s="43" t="s">
        <v>114</v>
      </c>
      <c r="C272" s="44" t="s">
        <v>484</v>
      </c>
      <c r="D272" s="44">
        <v>3</v>
      </c>
      <c r="E272" s="44">
        <v>2</v>
      </c>
      <c r="F272" s="44">
        <v>2.4</v>
      </c>
      <c r="G272" s="45">
        <f>D272*E272</f>
        <v>6</v>
      </c>
      <c r="H272" s="46" t="s">
        <v>465</v>
      </c>
      <c r="I272" s="151" t="s">
        <v>485</v>
      </c>
      <c r="J272" s="46"/>
      <c r="K272" s="46"/>
      <c r="L272" s="46"/>
    </row>
    <row r="273" spans="1:12" s="47" customFormat="1" ht="78.75">
      <c r="A273" s="42">
        <v>202</v>
      </c>
      <c r="B273" s="43" t="s">
        <v>115</v>
      </c>
      <c r="C273" s="44" t="s">
        <v>475</v>
      </c>
      <c r="D273" s="44">
        <v>12.5</v>
      </c>
      <c r="E273" s="44">
        <v>3.15</v>
      </c>
      <c r="F273" s="44">
        <v>2.4</v>
      </c>
      <c r="G273" s="45">
        <f>D273*E273</f>
        <v>39.375</v>
      </c>
      <c r="H273" s="46" t="s">
        <v>465</v>
      </c>
      <c r="I273" s="151" t="s">
        <v>476</v>
      </c>
      <c r="J273" s="46"/>
      <c r="K273" s="46"/>
      <c r="L273" s="46"/>
    </row>
    <row r="274" spans="1:12" s="47" customFormat="1" ht="63">
      <c r="A274" s="42">
        <v>203</v>
      </c>
      <c r="B274" s="43" t="s">
        <v>116</v>
      </c>
      <c r="C274" s="44" t="s">
        <v>559</v>
      </c>
      <c r="D274" s="44">
        <v>5.5</v>
      </c>
      <c r="E274" s="44">
        <v>7.8</v>
      </c>
      <c r="F274" s="44">
        <v>3.25</v>
      </c>
      <c r="G274" s="45">
        <f>D274*E274</f>
        <v>42.9</v>
      </c>
      <c r="H274" s="46" t="s">
        <v>465</v>
      </c>
      <c r="I274" s="151" t="s">
        <v>483</v>
      </c>
      <c r="J274" s="46"/>
      <c r="K274" s="46"/>
      <c r="L274" s="46"/>
    </row>
    <row r="275" spans="1:12" s="77" customFormat="1" ht="15.75">
      <c r="A275" s="72">
        <v>204</v>
      </c>
      <c r="B275" s="73" t="s">
        <v>117</v>
      </c>
      <c r="C275" s="74" t="s">
        <v>389</v>
      </c>
      <c r="D275" s="74"/>
      <c r="E275" s="74"/>
      <c r="F275" s="74"/>
      <c r="G275" s="76"/>
      <c r="H275" s="76"/>
      <c r="I275" s="157"/>
      <c r="J275" s="76"/>
      <c r="K275" s="76"/>
      <c r="L275" s="76"/>
    </row>
    <row r="276" spans="1:12" ht="78.75">
      <c r="A276" s="32">
        <v>205</v>
      </c>
      <c r="B276" s="33" t="s">
        <v>118</v>
      </c>
      <c r="C276" s="34" t="s">
        <v>481</v>
      </c>
      <c r="D276" s="34">
        <v>6</v>
      </c>
      <c r="E276" s="34">
        <v>2.3</v>
      </c>
      <c r="F276" s="34">
        <v>2.45</v>
      </c>
      <c r="G276" s="35">
        <f>D276*E276+1.4*3.95</f>
        <v>19.33</v>
      </c>
      <c r="H276" s="36" t="s">
        <v>332</v>
      </c>
      <c r="I276" s="149" t="s">
        <v>482</v>
      </c>
      <c r="J276" s="14"/>
      <c r="K276" s="14"/>
      <c r="L276" s="14"/>
    </row>
    <row r="277" spans="1:12" s="77" customFormat="1" ht="15.75">
      <c r="A277" s="72">
        <v>206</v>
      </c>
      <c r="B277" s="73" t="s">
        <v>119</v>
      </c>
      <c r="C277" s="74" t="s">
        <v>389</v>
      </c>
      <c r="D277" s="74"/>
      <c r="E277" s="74"/>
      <c r="F277" s="74"/>
      <c r="G277" s="76"/>
      <c r="H277" s="76"/>
      <c r="I277" s="157"/>
      <c r="J277" s="76"/>
      <c r="K277" s="76"/>
      <c r="L277" s="76"/>
    </row>
    <row r="278" spans="1:12" s="47" customFormat="1" ht="78.75">
      <c r="A278" s="42">
        <v>207</v>
      </c>
      <c r="B278" s="43" t="s">
        <v>120</v>
      </c>
      <c r="C278" s="44" t="s">
        <v>479</v>
      </c>
      <c r="D278" s="44">
        <v>4.9</v>
      </c>
      <c r="E278" s="44">
        <v>2.9</v>
      </c>
      <c r="F278" s="44">
        <v>2.5</v>
      </c>
      <c r="G278" s="45">
        <f>D278*E278</f>
        <v>14.21</v>
      </c>
      <c r="H278" s="46" t="s">
        <v>465</v>
      </c>
      <c r="I278" s="151" t="s">
        <v>480</v>
      </c>
      <c r="J278" s="46"/>
      <c r="K278" s="46"/>
      <c r="L278" s="46"/>
    </row>
    <row r="279" spans="1:12" s="47" customFormat="1" ht="78.75">
      <c r="A279" s="42">
        <v>208</v>
      </c>
      <c r="B279" s="43" t="s">
        <v>121</v>
      </c>
      <c r="C279" s="44" t="s">
        <v>477</v>
      </c>
      <c r="D279" s="44">
        <v>6</v>
      </c>
      <c r="E279" s="44">
        <v>3.2</v>
      </c>
      <c r="F279" s="44">
        <v>2.75</v>
      </c>
      <c r="G279" s="45">
        <f>D279*E279</f>
        <v>19.200000000000003</v>
      </c>
      <c r="H279" s="46" t="s">
        <v>332</v>
      </c>
      <c r="I279" s="151" t="s">
        <v>478</v>
      </c>
      <c r="J279" s="46"/>
      <c r="K279" s="46"/>
      <c r="L279" s="46"/>
    </row>
    <row r="280" spans="1:12" ht="45" customHeight="1">
      <c r="A280" s="386" t="s">
        <v>330</v>
      </c>
      <c r="B280" s="387"/>
      <c r="C280" s="387"/>
      <c r="D280" s="387"/>
      <c r="E280" s="387"/>
      <c r="F280" s="387"/>
      <c r="G280" s="355"/>
      <c r="H280" s="355"/>
      <c r="I280" s="355"/>
      <c r="J280" s="14"/>
      <c r="K280" s="14"/>
      <c r="L280" s="14"/>
    </row>
    <row r="281" spans="1:12" ht="15.75">
      <c r="A281" s="425" t="s">
        <v>567</v>
      </c>
      <c r="B281" s="426"/>
      <c r="C281" s="427"/>
      <c r="D281" s="21"/>
      <c r="E281" s="21"/>
      <c r="F281" s="21"/>
      <c r="G281" s="14"/>
      <c r="H281" s="14"/>
      <c r="I281" s="156"/>
      <c r="J281" s="14"/>
      <c r="K281" s="14"/>
      <c r="L281" s="14"/>
    </row>
    <row r="282" spans="1:12" s="37" customFormat="1" ht="78.75">
      <c r="A282" s="60"/>
      <c r="B282" s="39" t="s">
        <v>346</v>
      </c>
      <c r="C282" s="34" t="s">
        <v>827</v>
      </c>
      <c r="D282" s="34">
        <v>15</v>
      </c>
      <c r="E282" s="34">
        <v>3.1</v>
      </c>
      <c r="F282" s="34">
        <v>2.35</v>
      </c>
      <c r="G282" s="35">
        <f>D282*E282</f>
        <v>46.5</v>
      </c>
      <c r="H282" s="36" t="s">
        <v>332</v>
      </c>
      <c r="I282" s="149" t="s">
        <v>568</v>
      </c>
      <c r="J282" s="36"/>
      <c r="K282" s="36"/>
      <c r="L282" s="36"/>
    </row>
    <row r="283" spans="1:12" ht="15.75">
      <c r="A283" s="425" t="s">
        <v>249</v>
      </c>
      <c r="B283" s="426"/>
      <c r="C283" s="427"/>
      <c r="D283" s="21"/>
      <c r="E283" s="21"/>
      <c r="F283" s="21"/>
      <c r="G283" s="14"/>
      <c r="H283" s="14"/>
      <c r="I283" s="156"/>
      <c r="J283" s="14"/>
      <c r="K283" s="14"/>
      <c r="L283" s="14"/>
    </row>
    <row r="284" spans="1:12" s="37" customFormat="1" ht="78.75">
      <c r="A284" s="38"/>
      <c r="B284" s="39" t="s">
        <v>23</v>
      </c>
      <c r="C284" s="34" t="s">
        <v>569</v>
      </c>
      <c r="D284" s="34">
        <v>6.63</v>
      </c>
      <c r="E284" s="34">
        <v>2.35</v>
      </c>
      <c r="F284" s="34">
        <v>2.55</v>
      </c>
      <c r="G284" s="35">
        <f>D284*E284</f>
        <v>15.5805</v>
      </c>
      <c r="H284" s="36" t="s">
        <v>334</v>
      </c>
      <c r="I284" s="149" t="s">
        <v>348</v>
      </c>
      <c r="J284" s="36"/>
      <c r="K284" s="36"/>
      <c r="L284" s="36"/>
    </row>
    <row r="285" spans="1:12" s="37" customFormat="1" ht="78.75">
      <c r="A285" s="38"/>
      <c r="B285" s="39" t="s">
        <v>24</v>
      </c>
      <c r="C285" s="34" t="s">
        <v>570</v>
      </c>
      <c r="D285" s="34">
        <v>9</v>
      </c>
      <c r="E285" s="34">
        <v>3.6</v>
      </c>
      <c r="F285" s="34">
        <v>2.82</v>
      </c>
      <c r="G285" s="35">
        <f>D285*E285</f>
        <v>32.4</v>
      </c>
      <c r="H285" s="36" t="s">
        <v>332</v>
      </c>
      <c r="I285" s="149" t="s">
        <v>571</v>
      </c>
      <c r="J285" s="36"/>
      <c r="K285" s="36"/>
      <c r="L285" s="36"/>
    </row>
    <row r="286" spans="1:12" s="37" customFormat="1" ht="78.75">
      <c r="A286" s="38"/>
      <c r="B286" s="39" t="s">
        <v>349</v>
      </c>
      <c r="C286" s="34" t="s">
        <v>572</v>
      </c>
      <c r="D286" s="34">
        <v>6</v>
      </c>
      <c r="E286" s="34">
        <v>4.15</v>
      </c>
      <c r="F286" s="34">
        <v>2.35</v>
      </c>
      <c r="G286" s="35">
        <f>D286*E286</f>
        <v>24.900000000000002</v>
      </c>
      <c r="H286" s="36" t="s">
        <v>332</v>
      </c>
      <c r="I286" s="149" t="s">
        <v>573</v>
      </c>
      <c r="J286" s="36"/>
      <c r="K286" s="36"/>
      <c r="L286" s="36"/>
    </row>
    <row r="287" spans="1:12" ht="15.75">
      <c r="A287" s="413">
        <v>5</v>
      </c>
      <c r="B287" s="411" t="s">
        <v>401</v>
      </c>
      <c r="C287" s="13" t="s">
        <v>341</v>
      </c>
      <c r="D287" s="13">
        <v>6.1</v>
      </c>
      <c r="E287" s="13">
        <v>3.88</v>
      </c>
      <c r="F287" s="13"/>
      <c r="G287" s="31">
        <f>D287*E287-(0.75*0.75)/2</f>
        <v>23.38675</v>
      </c>
      <c r="H287" s="14" t="s">
        <v>334</v>
      </c>
      <c r="I287" s="148"/>
      <c r="J287" s="14"/>
      <c r="K287" s="14"/>
      <c r="L287" s="14"/>
    </row>
    <row r="288" spans="1:12" s="37" customFormat="1" ht="94.5">
      <c r="A288" s="414"/>
      <c r="B288" s="412"/>
      <c r="C288" s="34" t="s">
        <v>574</v>
      </c>
      <c r="D288" s="34">
        <v>25.7</v>
      </c>
      <c r="E288" s="34">
        <v>4.45</v>
      </c>
      <c r="F288" s="34">
        <v>2.75</v>
      </c>
      <c r="G288" s="35">
        <v>112.57825</v>
      </c>
      <c r="H288" s="36" t="s">
        <v>334</v>
      </c>
      <c r="I288" s="149" t="s">
        <v>575</v>
      </c>
      <c r="J288" s="36"/>
      <c r="K288" s="36"/>
      <c r="L288" s="36"/>
    </row>
    <row r="289" spans="1:12" ht="15.75">
      <c r="A289" s="413">
        <v>6</v>
      </c>
      <c r="B289" s="411" t="s">
        <v>25</v>
      </c>
      <c r="C289" s="13" t="s">
        <v>341</v>
      </c>
      <c r="D289" s="13">
        <v>6.4</v>
      </c>
      <c r="E289" s="13">
        <v>4.35</v>
      </c>
      <c r="F289" s="13"/>
      <c r="G289" s="31">
        <f>D289*E289-(1.15*1.1)/2*2</f>
        <v>26.575</v>
      </c>
      <c r="H289" s="14" t="s">
        <v>334</v>
      </c>
      <c r="I289" s="148"/>
      <c r="J289" s="14"/>
      <c r="K289" s="14"/>
      <c r="L289" s="14"/>
    </row>
    <row r="290" spans="1:12" s="37" customFormat="1" ht="78.75">
      <c r="A290" s="414"/>
      <c r="B290" s="412"/>
      <c r="C290" s="34" t="s">
        <v>576</v>
      </c>
      <c r="D290" s="34">
        <v>18.7</v>
      </c>
      <c r="E290" s="34">
        <v>5.15</v>
      </c>
      <c r="F290" s="34">
        <v>2.74</v>
      </c>
      <c r="G290" s="35">
        <f>D290*E290-G289</f>
        <v>69.73</v>
      </c>
      <c r="H290" s="36" t="s">
        <v>332</v>
      </c>
      <c r="I290" s="149" t="s">
        <v>577</v>
      </c>
      <c r="J290" s="36"/>
      <c r="K290" s="36"/>
      <c r="L290" s="36"/>
    </row>
    <row r="291" spans="1:12" s="37" customFormat="1" ht="63">
      <c r="A291" s="38"/>
      <c r="B291" s="39" t="s">
        <v>26</v>
      </c>
      <c r="C291" s="34" t="s">
        <v>578</v>
      </c>
      <c r="D291" s="34">
        <v>8.05</v>
      </c>
      <c r="E291" s="34">
        <v>5.2</v>
      </c>
      <c r="F291" s="34">
        <v>2.55</v>
      </c>
      <c r="G291" s="35">
        <f>D291*E291</f>
        <v>41.86000000000001</v>
      </c>
      <c r="H291" s="36" t="s">
        <v>334</v>
      </c>
      <c r="I291" s="149" t="s">
        <v>579</v>
      </c>
      <c r="J291" s="36"/>
      <c r="K291" s="36"/>
      <c r="L291" s="36"/>
    </row>
    <row r="292" spans="1:12" s="37" customFormat="1" ht="78.75">
      <c r="A292" s="38"/>
      <c r="B292" s="39" t="s">
        <v>27</v>
      </c>
      <c r="C292" s="34" t="s">
        <v>580</v>
      </c>
      <c r="D292" s="34">
        <v>6.65</v>
      </c>
      <c r="E292" s="34">
        <v>2.5</v>
      </c>
      <c r="F292" s="34">
        <v>2.55</v>
      </c>
      <c r="G292" s="35">
        <f>D292*E292</f>
        <v>16.625</v>
      </c>
      <c r="H292" s="36" t="s">
        <v>332</v>
      </c>
      <c r="I292" s="149" t="s">
        <v>400</v>
      </c>
      <c r="J292" s="36"/>
      <c r="K292" s="36"/>
      <c r="L292" s="36"/>
    </row>
    <row r="293" spans="1:12" s="37" customFormat="1" ht="78.75">
      <c r="A293" s="38"/>
      <c r="B293" s="39" t="s">
        <v>350</v>
      </c>
      <c r="C293" s="34" t="s">
        <v>581</v>
      </c>
      <c r="D293" s="34">
        <v>8.5</v>
      </c>
      <c r="E293" s="34">
        <v>3.1</v>
      </c>
      <c r="F293" s="34">
        <v>3.34</v>
      </c>
      <c r="G293" s="35">
        <f>D293*E293</f>
        <v>26.35</v>
      </c>
      <c r="H293" s="36" t="s">
        <v>332</v>
      </c>
      <c r="I293" s="149" t="s">
        <v>582</v>
      </c>
      <c r="J293" s="36"/>
      <c r="K293" s="36"/>
      <c r="L293" s="36"/>
    </row>
    <row r="294" spans="1:12" s="104" customFormat="1" ht="31.5">
      <c r="A294" s="101">
        <v>10</v>
      </c>
      <c r="B294" s="99" t="s">
        <v>351</v>
      </c>
      <c r="C294" s="102" t="s">
        <v>376</v>
      </c>
      <c r="D294" s="102"/>
      <c r="E294" s="102"/>
      <c r="F294" s="102"/>
      <c r="G294" s="103"/>
      <c r="H294" s="103"/>
      <c r="I294" s="160" t="s">
        <v>356</v>
      </c>
      <c r="J294" s="103"/>
      <c r="K294" s="103"/>
      <c r="L294" s="103"/>
    </row>
    <row r="295" spans="1:12" s="104" customFormat="1" ht="31.5">
      <c r="A295" s="101">
        <v>11</v>
      </c>
      <c r="B295" s="99" t="s">
        <v>353</v>
      </c>
      <c r="C295" s="102" t="s">
        <v>354</v>
      </c>
      <c r="D295" s="102">
        <v>12</v>
      </c>
      <c r="E295" s="102">
        <v>1.8</v>
      </c>
      <c r="F295" s="102"/>
      <c r="G295" s="103">
        <f>D295*E295</f>
        <v>21.6</v>
      </c>
      <c r="H295" s="103" t="s">
        <v>332</v>
      </c>
      <c r="I295" s="161" t="s">
        <v>358</v>
      </c>
      <c r="J295" s="103"/>
      <c r="K295" s="103"/>
      <c r="L295" s="103"/>
    </row>
    <row r="296" spans="1:12" s="110" customFormat="1" ht="40.5" customHeight="1">
      <c r="A296" s="105">
        <v>12</v>
      </c>
      <c r="B296" s="106" t="s">
        <v>373</v>
      </c>
      <c r="C296" s="107" t="s">
        <v>374</v>
      </c>
      <c r="D296" s="107">
        <v>11.7</v>
      </c>
      <c r="E296" s="107">
        <v>1.2</v>
      </c>
      <c r="F296" s="107"/>
      <c r="G296" s="108">
        <f>D296*E296</f>
        <v>14.04</v>
      </c>
      <c r="H296" s="109" t="s">
        <v>352</v>
      </c>
      <c r="I296" s="162" t="s">
        <v>375</v>
      </c>
      <c r="J296" s="109"/>
      <c r="K296" s="109"/>
      <c r="L296" s="109"/>
    </row>
    <row r="297" spans="1:12" s="110" customFormat="1" ht="63">
      <c r="A297" s="105">
        <v>13</v>
      </c>
      <c r="B297" s="106" t="s">
        <v>30</v>
      </c>
      <c r="C297" s="107" t="s">
        <v>583</v>
      </c>
      <c r="D297" s="107">
        <v>5.87</v>
      </c>
      <c r="E297" s="107">
        <v>2.62</v>
      </c>
      <c r="F297" s="107">
        <v>2.47</v>
      </c>
      <c r="G297" s="108">
        <f>D297*E297</f>
        <v>15.3794</v>
      </c>
      <c r="H297" s="109" t="s">
        <v>332</v>
      </c>
      <c r="I297" s="162" t="s">
        <v>372</v>
      </c>
      <c r="J297" s="109"/>
      <c r="K297" s="109"/>
      <c r="L297" s="109"/>
    </row>
    <row r="298" spans="1:12" s="104" customFormat="1" ht="15.75">
      <c r="A298" s="101">
        <v>14</v>
      </c>
      <c r="B298" s="99" t="s">
        <v>31</v>
      </c>
      <c r="C298" s="102" t="s">
        <v>355</v>
      </c>
      <c r="D298" s="102"/>
      <c r="E298" s="102"/>
      <c r="F298" s="102"/>
      <c r="G298" s="103"/>
      <c r="H298" s="103"/>
      <c r="I298" s="160" t="s">
        <v>356</v>
      </c>
      <c r="J298" s="103"/>
      <c r="K298" s="103"/>
      <c r="L298" s="103"/>
    </row>
    <row r="299" spans="1:12" s="110" customFormat="1" ht="48.75" customHeight="1">
      <c r="A299" s="105">
        <v>15</v>
      </c>
      <c r="B299" s="106" t="s">
        <v>370</v>
      </c>
      <c r="C299" s="107" t="s">
        <v>584</v>
      </c>
      <c r="D299" s="107">
        <v>7.1</v>
      </c>
      <c r="E299" s="107">
        <v>2.2</v>
      </c>
      <c r="F299" s="107">
        <v>2.9</v>
      </c>
      <c r="G299" s="108">
        <f>D299*E299+(0.5*0.25)*2</f>
        <v>15.870000000000001</v>
      </c>
      <c r="H299" s="109" t="s">
        <v>332</v>
      </c>
      <c r="I299" s="162" t="s">
        <v>371</v>
      </c>
      <c r="J299" s="109"/>
      <c r="K299" s="109"/>
      <c r="L299" s="109"/>
    </row>
    <row r="300" spans="1:12" s="104" customFormat="1" ht="31.5">
      <c r="A300" s="101">
        <v>16</v>
      </c>
      <c r="B300" s="99" t="s">
        <v>357</v>
      </c>
      <c r="C300" s="102" t="s">
        <v>354</v>
      </c>
      <c r="D300" s="102">
        <v>12</v>
      </c>
      <c r="E300" s="102">
        <v>1.8</v>
      </c>
      <c r="F300" s="102"/>
      <c r="G300" s="103">
        <f>D300*E300</f>
        <v>21.6</v>
      </c>
      <c r="H300" s="103" t="s">
        <v>352</v>
      </c>
      <c r="I300" s="161" t="s">
        <v>359</v>
      </c>
      <c r="J300" s="103"/>
      <c r="K300" s="103"/>
      <c r="L300" s="103"/>
    </row>
    <row r="301" spans="1:12" s="113" customFormat="1" ht="31.5">
      <c r="A301" s="111">
        <v>17</v>
      </c>
      <c r="B301" s="106" t="s">
        <v>360</v>
      </c>
      <c r="C301" s="107" t="s">
        <v>355</v>
      </c>
      <c r="D301" s="107"/>
      <c r="E301" s="107"/>
      <c r="F301" s="107"/>
      <c r="G301" s="112"/>
      <c r="H301" s="112"/>
      <c r="I301" s="162" t="s">
        <v>356</v>
      </c>
      <c r="J301" s="112"/>
      <c r="K301" s="112"/>
      <c r="L301" s="112"/>
    </row>
    <row r="302" spans="1:12" s="110" customFormat="1" ht="48.75" customHeight="1">
      <c r="A302" s="114"/>
      <c r="B302" s="115" t="s">
        <v>283</v>
      </c>
      <c r="C302" s="107" t="s">
        <v>585</v>
      </c>
      <c r="D302" s="107">
        <v>6.2</v>
      </c>
      <c r="E302" s="107">
        <v>3</v>
      </c>
      <c r="F302" s="107">
        <v>2.2</v>
      </c>
      <c r="G302" s="108">
        <f>D302*E302</f>
        <v>18.6</v>
      </c>
      <c r="H302" s="109" t="s">
        <v>332</v>
      </c>
      <c r="I302" s="162" t="s">
        <v>586</v>
      </c>
      <c r="J302" s="109"/>
      <c r="K302" s="109"/>
      <c r="L302" s="109"/>
    </row>
    <row r="303" spans="1:12" s="104" customFormat="1" ht="78.75">
      <c r="A303" s="116"/>
      <c r="B303" s="117" t="s">
        <v>368</v>
      </c>
      <c r="C303" s="102" t="s">
        <v>587</v>
      </c>
      <c r="D303" s="102">
        <v>6.7</v>
      </c>
      <c r="E303" s="102">
        <v>2.35</v>
      </c>
      <c r="F303" s="102">
        <v>2.4</v>
      </c>
      <c r="G303" s="118">
        <f>D303*E303</f>
        <v>15.745000000000001</v>
      </c>
      <c r="H303" s="103" t="s">
        <v>332</v>
      </c>
      <c r="I303" s="161" t="s">
        <v>369</v>
      </c>
      <c r="J303" s="103"/>
      <c r="K303" s="103"/>
      <c r="L303" s="103"/>
    </row>
    <row r="304" spans="1:12" ht="15.75">
      <c r="A304" s="388" t="s">
        <v>626</v>
      </c>
      <c r="B304" s="415"/>
      <c r="C304" s="416"/>
      <c r="D304" s="20"/>
      <c r="E304" s="20"/>
      <c r="F304" s="20"/>
      <c r="G304" s="14"/>
      <c r="H304" s="14"/>
      <c r="I304" s="156"/>
      <c r="J304" s="14"/>
      <c r="K304" s="14"/>
      <c r="L304" s="14"/>
    </row>
    <row r="305" spans="1:12" s="37" customFormat="1" ht="78.75">
      <c r="A305" s="38"/>
      <c r="B305" s="39" t="s">
        <v>461</v>
      </c>
      <c r="C305" s="34" t="s">
        <v>588</v>
      </c>
      <c r="D305" s="34">
        <v>13.2</v>
      </c>
      <c r="E305" s="34">
        <v>2.35</v>
      </c>
      <c r="F305" s="34">
        <v>2.45</v>
      </c>
      <c r="G305" s="35">
        <f>D305*E305+1.7*5.8</f>
        <v>40.879999999999995</v>
      </c>
      <c r="H305" s="36" t="s">
        <v>332</v>
      </c>
      <c r="I305" s="149" t="s">
        <v>589</v>
      </c>
      <c r="J305" s="36"/>
      <c r="K305" s="36"/>
      <c r="L305" s="36"/>
    </row>
    <row r="306" spans="1:12" s="37" customFormat="1" ht="39">
      <c r="A306" s="41"/>
      <c r="B306" s="40" t="s">
        <v>627</v>
      </c>
      <c r="C306" s="34" t="s">
        <v>628</v>
      </c>
      <c r="D306" s="34">
        <v>6</v>
      </c>
      <c r="E306" s="34">
        <v>2</v>
      </c>
      <c r="F306" s="34"/>
      <c r="G306" s="36">
        <f>D306*E306</f>
        <v>12</v>
      </c>
      <c r="H306" s="36" t="s">
        <v>332</v>
      </c>
      <c r="I306" s="149" t="s">
        <v>629</v>
      </c>
      <c r="J306" s="36"/>
      <c r="K306" s="36"/>
      <c r="L306" s="36"/>
    </row>
    <row r="307" spans="1:12" s="37" customFormat="1" ht="78.75">
      <c r="A307" s="66"/>
      <c r="B307" s="64" t="s">
        <v>829</v>
      </c>
      <c r="C307" s="34" t="s">
        <v>828</v>
      </c>
      <c r="D307" s="34">
        <v>7.9</v>
      </c>
      <c r="E307" s="34">
        <v>2.45</v>
      </c>
      <c r="F307" s="34">
        <v>2.6</v>
      </c>
      <c r="G307" s="35">
        <f>D307*E307</f>
        <v>19.355000000000004</v>
      </c>
      <c r="H307" s="36" t="s">
        <v>334</v>
      </c>
      <c r="I307" s="163"/>
      <c r="J307" s="36"/>
      <c r="K307" s="36"/>
      <c r="L307" s="36"/>
    </row>
    <row r="308" spans="1:12" s="37" customFormat="1" ht="78.75">
      <c r="A308" s="66"/>
      <c r="B308" s="64" t="s">
        <v>830</v>
      </c>
      <c r="C308" s="34" t="s">
        <v>831</v>
      </c>
      <c r="D308" s="34">
        <v>10.95</v>
      </c>
      <c r="E308" s="34">
        <v>3</v>
      </c>
      <c r="F308" s="34">
        <v>2.6</v>
      </c>
      <c r="G308" s="35">
        <f>D308*E308</f>
        <v>32.849999999999994</v>
      </c>
      <c r="H308" s="36" t="s">
        <v>334</v>
      </c>
      <c r="I308" s="163"/>
      <c r="J308" s="36"/>
      <c r="K308" s="36"/>
      <c r="L308" s="36"/>
    </row>
    <row r="309" spans="1:12" ht="15.75">
      <c r="A309" s="388" t="s">
        <v>268</v>
      </c>
      <c r="B309" s="415"/>
      <c r="C309" s="416"/>
      <c r="D309" s="20"/>
      <c r="E309" s="20"/>
      <c r="F309" s="20"/>
      <c r="G309" s="14"/>
      <c r="H309" s="14"/>
      <c r="I309" s="156"/>
      <c r="J309" s="14"/>
      <c r="K309" s="14"/>
      <c r="L309" s="14"/>
    </row>
    <row r="310" spans="1:12" ht="39">
      <c r="A310" s="32">
        <v>24</v>
      </c>
      <c r="B310" s="33" t="s">
        <v>832</v>
      </c>
      <c r="C310" s="34" t="s">
        <v>833</v>
      </c>
      <c r="D310" s="34">
        <v>17.4</v>
      </c>
      <c r="E310" s="34">
        <v>2</v>
      </c>
      <c r="F310" s="34"/>
      <c r="G310" s="35">
        <f>D310*E310</f>
        <v>34.8</v>
      </c>
      <c r="H310" s="36" t="s">
        <v>332</v>
      </c>
      <c r="I310" s="149" t="s">
        <v>834</v>
      </c>
      <c r="J310" s="14"/>
      <c r="K310" s="14"/>
      <c r="L310" s="14"/>
    </row>
    <row r="311" spans="1:12" ht="51.75">
      <c r="A311" s="32">
        <v>25</v>
      </c>
      <c r="B311" s="33" t="s">
        <v>835</v>
      </c>
      <c r="C311" s="34" t="s">
        <v>674</v>
      </c>
      <c r="D311" s="34">
        <v>13.2</v>
      </c>
      <c r="E311" s="34">
        <v>3</v>
      </c>
      <c r="F311" s="34"/>
      <c r="G311" s="35">
        <f>D311*E311</f>
        <v>39.599999999999994</v>
      </c>
      <c r="H311" s="36" t="s">
        <v>332</v>
      </c>
      <c r="I311" s="149" t="s">
        <v>836</v>
      </c>
      <c r="J311" s="14"/>
      <c r="K311" s="14"/>
      <c r="L311" s="14"/>
    </row>
    <row r="312" spans="1:12" ht="15.75">
      <c r="A312" s="413">
        <v>26</v>
      </c>
      <c r="B312" s="411" t="s">
        <v>837</v>
      </c>
      <c r="C312" s="13" t="s">
        <v>241</v>
      </c>
      <c r="D312" s="13">
        <v>3.2</v>
      </c>
      <c r="E312" s="13">
        <v>3.2</v>
      </c>
      <c r="F312" s="13"/>
      <c r="G312" s="31">
        <f>D312*E312-0.9*0.9/2</f>
        <v>9.835000000000003</v>
      </c>
      <c r="H312" s="14"/>
      <c r="I312" s="156"/>
      <c r="J312" s="14"/>
      <c r="K312" s="14"/>
      <c r="L312" s="14"/>
    </row>
    <row r="313" spans="1:12" ht="63">
      <c r="A313" s="414"/>
      <c r="B313" s="412"/>
      <c r="C313" s="34" t="s">
        <v>790</v>
      </c>
      <c r="D313" s="34">
        <v>22.5</v>
      </c>
      <c r="E313" s="34">
        <v>3.6</v>
      </c>
      <c r="F313" s="34">
        <v>3.05</v>
      </c>
      <c r="G313" s="35">
        <f>D313*E313-G312</f>
        <v>71.16499999999999</v>
      </c>
      <c r="H313" s="36" t="s">
        <v>332</v>
      </c>
      <c r="I313" s="149" t="s">
        <v>791</v>
      </c>
      <c r="J313" s="14"/>
      <c r="K313" s="14"/>
      <c r="L313" s="14"/>
    </row>
    <row r="314" spans="1:12" ht="15.75">
      <c r="A314" s="413">
        <v>27</v>
      </c>
      <c r="B314" s="411" t="s">
        <v>285</v>
      </c>
      <c r="C314" s="13" t="s">
        <v>241</v>
      </c>
      <c r="D314" s="13">
        <v>3</v>
      </c>
      <c r="E314" s="13">
        <v>3.05</v>
      </c>
      <c r="F314" s="13"/>
      <c r="G314" s="31">
        <f>D314*E314</f>
        <v>9.149999999999999</v>
      </c>
      <c r="H314" s="14"/>
      <c r="I314" s="156"/>
      <c r="J314" s="14"/>
      <c r="K314" s="14"/>
      <c r="L314" s="14"/>
    </row>
    <row r="315" spans="1:12" ht="63">
      <c r="A315" s="414"/>
      <c r="B315" s="412"/>
      <c r="C315" s="34" t="s">
        <v>838</v>
      </c>
      <c r="D315" s="34">
        <v>17.6</v>
      </c>
      <c r="E315" s="34">
        <v>3.3</v>
      </c>
      <c r="F315" s="34">
        <v>3.05</v>
      </c>
      <c r="G315" s="35">
        <f>D315*E315-G314</f>
        <v>48.93</v>
      </c>
      <c r="H315" s="36" t="s">
        <v>332</v>
      </c>
      <c r="I315" s="149" t="s">
        <v>791</v>
      </c>
      <c r="J315" s="14"/>
      <c r="K315" s="14"/>
      <c r="L315" s="14"/>
    </row>
    <row r="316" spans="1:12" ht="15.75">
      <c r="A316" s="413">
        <v>28</v>
      </c>
      <c r="B316" s="411" t="s">
        <v>250</v>
      </c>
      <c r="C316" s="13" t="s">
        <v>241</v>
      </c>
      <c r="D316" s="13">
        <v>10</v>
      </c>
      <c r="E316" s="13">
        <v>3</v>
      </c>
      <c r="F316" s="13"/>
      <c r="G316" s="14">
        <f>D316*E316</f>
        <v>30</v>
      </c>
      <c r="H316" s="14"/>
      <c r="I316" s="156"/>
      <c r="J316" s="14"/>
      <c r="K316" s="14"/>
      <c r="L316" s="14"/>
    </row>
    <row r="317" spans="1:12" ht="63">
      <c r="A317" s="414"/>
      <c r="B317" s="412"/>
      <c r="C317" s="34" t="s">
        <v>790</v>
      </c>
      <c r="D317" s="34">
        <v>20.5</v>
      </c>
      <c r="E317" s="34">
        <v>3.2</v>
      </c>
      <c r="F317" s="34">
        <v>3.4</v>
      </c>
      <c r="G317" s="35">
        <f>D317*E317-G316</f>
        <v>35.60000000000001</v>
      </c>
      <c r="H317" s="36" t="s">
        <v>332</v>
      </c>
      <c r="I317" s="149" t="s">
        <v>791</v>
      </c>
      <c r="J317" s="14"/>
      <c r="K317" s="14"/>
      <c r="L317" s="14"/>
    </row>
    <row r="318" spans="1:12" ht="15.75">
      <c r="A318" s="413">
        <v>29</v>
      </c>
      <c r="B318" s="411" t="s">
        <v>251</v>
      </c>
      <c r="C318" s="13" t="s">
        <v>241</v>
      </c>
      <c r="D318" s="13">
        <v>3.2</v>
      </c>
      <c r="E318" s="13">
        <v>3.2</v>
      </c>
      <c r="F318" s="13"/>
      <c r="G318" s="31">
        <f>D318*E318-0.85*0.85/2</f>
        <v>9.878750000000002</v>
      </c>
      <c r="H318" s="14"/>
      <c r="I318" s="156"/>
      <c r="J318" s="14"/>
      <c r="K318" s="14"/>
      <c r="L318" s="14"/>
    </row>
    <row r="319" spans="1:12" ht="47.25">
      <c r="A319" s="414"/>
      <c r="B319" s="412"/>
      <c r="C319" s="34" t="s">
        <v>839</v>
      </c>
      <c r="D319" s="34">
        <v>20</v>
      </c>
      <c r="E319" s="34">
        <v>3.4</v>
      </c>
      <c r="F319" s="34">
        <v>2.9</v>
      </c>
      <c r="G319" s="35">
        <f>D319*E319-G318</f>
        <v>58.121249999999996</v>
      </c>
      <c r="H319" s="36" t="s">
        <v>332</v>
      </c>
      <c r="I319" s="149" t="s">
        <v>840</v>
      </c>
      <c r="J319" s="14"/>
      <c r="K319" s="14"/>
      <c r="L319" s="14"/>
    </row>
    <row r="320" spans="1:12" ht="15.75">
      <c r="A320" s="413">
        <v>30</v>
      </c>
      <c r="B320" s="411" t="s">
        <v>252</v>
      </c>
      <c r="C320" s="13" t="s">
        <v>631</v>
      </c>
      <c r="D320" s="13">
        <v>5.16</v>
      </c>
      <c r="E320" s="13">
        <v>3.2</v>
      </c>
      <c r="F320" s="13"/>
      <c r="G320" s="31">
        <f>D320*E320*2</f>
        <v>33.024</v>
      </c>
      <c r="H320" s="14"/>
      <c r="I320" s="156"/>
      <c r="J320" s="14"/>
      <c r="K320" s="14"/>
      <c r="L320" s="14"/>
    </row>
    <row r="321" spans="1:12" ht="63">
      <c r="A321" s="414"/>
      <c r="B321" s="412"/>
      <c r="C321" s="34" t="s">
        <v>753</v>
      </c>
      <c r="D321" s="34">
        <v>39</v>
      </c>
      <c r="E321" s="34">
        <v>4.2</v>
      </c>
      <c r="F321" s="34">
        <v>3.8</v>
      </c>
      <c r="G321" s="35">
        <f>D321*E321-G320-3.8*1.2+1.2*1.2*4+3.7*1.3</f>
        <v>136.786</v>
      </c>
      <c r="H321" s="36" t="s">
        <v>334</v>
      </c>
      <c r="I321" s="149" t="s">
        <v>754</v>
      </c>
      <c r="J321" s="14"/>
      <c r="K321" s="14"/>
      <c r="L321" s="14"/>
    </row>
    <row r="322" spans="1:12" ht="15.75">
      <c r="A322" s="413">
        <v>31</v>
      </c>
      <c r="B322" s="411" t="s">
        <v>253</v>
      </c>
      <c r="C322" s="13" t="s">
        <v>241</v>
      </c>
      <c r="D322" s="13">
        <v>4.15</v>
      </c>
      <c r="E322" s="13">
        <v>2.8</v>
      </c>
      <c r="F322" s="13"/>
      <c r="G322" s="31">
        <f>D322*E322-0.85*0.85/2</f>
        <v>11.258750000000001</v>
      </c>
      <c r="H322" s="14"/>
      <c r="I322" s="156"/>
      <c r="J322" s="14"/>
      <c r="K322" s="14"/>
      <c r="L322" s="14"/>
    </row>
    <row r="323" spans="1:12" ht="63">
      <c r="A323" s="414"/>
      <c r="B323" s="412"/>
      <c r="C323" s="34" t="s">
        <v>788</v>
      </c>
      <c r="D323" s="34">
        <v>20</v>
      </c>
      <c r="E323" s="34">
        <v>3.4</v>
      </c>
      <c r="F323" s="34">
        <v>2.9</v>
      </c>
      <c r="G323" s="35">
        <f>D323*E323-G322+1.5*1.1+2.5*1.1+1.2*0.3</f>
        <v>61.50125</v>
      </c>
      <c r="H323" s="36" t="s">
        <v>332</v>
      </c>
      <c r="I323" s="149" t="s">
        <v>789</v>
      </c>
      <c r="J323" s="14"/>
      <c r="K323" s="14"/>
      <c r="L323" s="14"/>
    </row>
    <row r="324" spans="1:12" ht="15.75">
      <c r="A324" s="413">
        <v>32</v>
      </c>
      <c r="B324" s="411" t="s">
        <v>254</v>
      </c>
      <c r="C324" s="13" t="s">
        <v>239</v>
      </c>
      <c r="D324" s="13">
        <v>9.4</v>
      </c>
      <c r="E324" s="13">
        <v>3.9</v>
      </c>
      <c r="F324" s="13"/>
      <c r="G324" s="31">
        <f>D324*E324</f>
        <v>36.660000000000004</v>
      </c>
      <c r="H324" s="14"/>
      <c r="I324" s="156"/>
      <c r="J324" s="14"/>
      <c r="K324" s="14"/>
      <c r="L324" s="14"/>
    </row>
    <row r="325" spans="1:12" ht="63">
      <c r="A325" s="414"/>
      <c r="B325" s="412"/>
      <c r="C325" s="34" t="s">
        <v>755</v>
      </c>
      <c r="D325" s="34">
        <v>23</v>
      </c>
      <c r="E325" s="34">
        <v>5</v>
      </c>
      <c r="F325" s="34">
        <v>3.2</v>
      </c>
      <c r="G325" s="35">
        <f>D325*E325-G324+2.3*1.2+1.7*0.9</f>
        <v>82.63000000000001</v>
      </c>
      <c r="H325" s="36" t="s">
        <v>334</v>
      </c>
      <c r="I325" s="149" t="s">
        <v>633</v>
      </c>
      <c r="J325" s="14"/>
      <c r="K325" s="14"/>
      <c r="L325" s="14"/>
    </row>
    <row r="326" spans="1:12" ht="78.75">
      <c r="A326" s="32">
        <v>33</v>
      </c>
      <c r="B326" s="33" t="s">
        <v>255</v>
      </c>
      <c r="C326" s="34" t="s">
        <v>786</v>
      </c>
      <c r="D326" s="34">
        <v>18.1</v>
      </c>
      <c r="E326" s="34">
        <v>4.2</v>
      </c>
      <c r="F326" s="34">
        <v>2.45</v>
      </c>
      <c r="G326" s="35">
        <f>D326*E326+1.3*2.8+1.2*2.6</f>
        <v>82.78000000000002</v>
      </c>
      <c r="H326" s="36" t="s">
        <v>332</v>
      </c>
      <c r="I326" s="149" t="s">
        <v>787</v>
      </c>
      <c r="J326" s="14"/>
      <c r="K326" s="14"/>
      <c r="L326" s="14"/>
    </row>
    <row r="327" spans="1:12" ht="63">
      <c r="A327" s="32">
        <v>34</v>
      </c>
      <c r="B327" s="33" t="s">
        <v>256</v>
      </c>
      <c r="C327" s="34" t="s">
        <v>842</v>
      </c>
      <c r="D327" s="34">
        <v>8.05</v>
      </c>
      <c r="E327" s="34">
        <v>3</v>
      </c>
      <c r="F327" s="34">
        <v>2.6</v>
      </c>
      <c r="G327" s="35">
        <f>D327*E327+0.6*1.2*2+1.2*0.9*2</f>
        <v>27.750000000000004</v>
      </c>
      <c r="H327" s="36" t="s">
        <v>334</v>
      </c>
      <c r="I327" s="149" t="s">
        <v>841</v>
      </c>
      <c r="J327" s="14"/>
      <c r="K327" s="14"/>
      <c r="L327" s="14"/>
    </row>
    <row r="328" spans="1:12" ht="63">
      <c r="A328" s="32">
        <v>35</v>
      </c>
      <c r="B328" s="33" t="s">
        <v>257</v>
      </c>
      <c r="C328" s="34" t="s">
        <v>843</v>
      </c>
      <c r="D328" s="34">
        <v>6.5</v>
      </c>
      <c r="E328" s="34">
        <v>2.5</v>
      </c>
      <c r="F328" s="34">
        <v>2.6</v>
      </c>
      <c r="G328" s="35">
        <f>D328*E328</f>
        <v>16.25</v>
      </c>
      <c r="H328" s="36" t="s">
        <v>334</v>
      </c>
      <c r="I328" s="149" t="s">
        <v>801</v>
      </c>
      <c r="J328" s="14"/>
      <c r="K328" s="14"/>
      <c r="L328" s="14"/>
    </row>
    <row r="329" spans="1:12" ht="51.75">
      <c r="A329" s="32">
        <v>36</v>
      </c>
      <c r="B329" s="33" t="s">
        <v>258</v>
      </c>
      <c r="C329" s="34" t="s">
        <v>756</v>
      </c>
      <c r="D329" s="34">
        <v>20.1</v>
      </c>
      <c r="E329" s="34">
        <v>2.5</v>
      </c>
      <c r="F329" s="34"/>
      <c r="G329" s="35">
        <f>D329*E329</f>
        <v>50.25</v>
      </c>
      <c r="H329" s="36" t="s">
        <v>332</v>
      </c>
      <c r="I329" s="149" t="s">
        <v>707</v>
      </c>
      <c r="J329" s="14"/>
      <c r="K329" s="14"/>
      <c r="L329" s="14"/>
    </row>
    <row r="330" spans="1:12" ht="78.75">
      <c r="A330" s="32">
        <v>37</v>
      </c>
      <c r="B330" s="33" t="s">
        <v>259</v>
      </c>
      <c r="C330" s="34" t="s">
        <v>784</v>
      </c>
      <c r="D330" s="34">
        <v>18</v>
      </c>
      <c r="E330" s="34">
        <v>3.9</v>
      </c>
      <c r="F330" s="34">
        <v>2.75</v>
      </c>
      <c r="G330" s="35">
        <f>D330*E330-1*1</f>
        <v>69.2</v>
      </c>
      <c r="H330" s="36" t="s">
        <v>334</v>
      </c>
      <c r="I330" s="149" t="s">
        <v>785</v>
      </c>
      <c r="J330" s="14"/>
      <c r="K330" s="14"/>
      <c r="L330" s="14"/>
    </row>
    <row r="331" spans="1:12" ht="63">
      <c r="A331" s="32">
        <v>38</v>
      </c>
      <c r="B331" s="33" t="s">
        <v>260</v>
      </c>
      <c r="C331" s="34" t="s">
        <v>757</v>
      </c>
      <c r="D331" s="34">
        <v>8</v>
      </c>
      <c r="E331" s="34">
        <v>2</v>
      </c>
      <c r="F331" s="34">
        <v>3.4</v>
      </c>
      <c r="G331" s="35">
        <f>D331*E331+5.5*2.3</f>
        <v>28.65</v>
      </c>
      <c r="H331" s="36" t="s">
        <v>332</v>
      </c>
      <c r="I331" s="149" t="s">
        <v>758</v>
      </c>
      <c r="J331" s="14"/>
      <c r="K331" s="14"/>
      <c r="L331" s="14"/>
    </row>
    <row r="332" spans="1:12" ht="63">
      <c r="A332" s="32">
        <v>39</v>
      </c>
      <c r="B332" s="33" t="s">
        <v>261</v>
      </c>
      <c r="C332" s="34" t="s">
        <v>782</v>
      </c>
      <c r="D332" s="34">
        <v>5.9</v>
      </c>
      <c r="E332" s="34">
        <v>3.1</v>
      </c>
      <c r="F332" s="34">
        <v>3.35</v>
      </c>
      <c r="G332" s="35">
        <f>D332*E332</f>
        <v>18.290000000000003</v>
      </c>
      <c r="H332" s="36" t="s">
        <v>332</v>
      </c>
      <c r="I332" s="149" t="s">
        <v>783</v>
      </c>
      <c r="J332" s="14"/>
      <c r="K332" s="14"/>
      <c r="L332" s="14"/>
    </row>
    <row r="333" spans="1:12" ht="47.25">
      <c r="A333" s="32">
        <v>40</v>
      </c>
      <c r="B333" s="33" t="s">
        <v>262</v>
      </c>
      <c r="C333" s="34" t="s">
        <v>759</v>
      </c>
      <c r="D333" s="34">
        <v>12.1</v>
      </c>
      <c r="E333" s="34">
        <v>3</v>
      </c>
      <c r="F333" s="34">
        <v>2.75</v>
      </c>
      <c r="G333" s="35">
        <f>D333*E333</f>
        <v>36.3</v>
      </c>
      <c r="H333" s="36" t="s">
        <v>334</v>
      </c>
      <c r="I333" s="149" t="s">
        <v>760</v>
      </c>
      <c r="J333" s="14"/>
      <c r="K333" s="14"/>
      <c r="L333" s="14"/>
    </row>
    <row r="334" spans="1:12" ht="78.75">
      <c r="A334" s="32">
        <v>41</v>
      </c>
      <c r="B334" s="33" t="s">
        <v>781</v>
      </c>
      <c r="C334" s="34" t="s">
        <v>780</v>
      </c>
      <c r="D334" s="34">
        <v>12.1</v>
      </c>
      <c r="E334" s="34">
        <v>3.6</v>
      </c>
      <c r="F334" s="34">
        <v>2.9</v>
      </c>
      <c r="G334" s="35">
        <f>D334*E334+3.6*3+3.4*1.2</f>
        <v>58.44</v>
      </c>
      <c r="H334" s="36" t="s">
        <v>334</v>
      </c>
      <c r="I334" s="149"/>
      <c r="J334" s="14"/>
      <c r="K334" s="14"/>
      <c r="L334" s="14"/>
    </row>
    <row r="335" spans="1:12" ht="51.75">
      <c r="A335" s="32">
        <v>42</v>
      </c>
      <c r="B335" s="33" t="s">
        <v>263</v>
      </c>
      <c r="C335" s="34" t="s">
        <v>761</v>
      </c>
      <c r="D335" s="34">
        <v>17.4</v>
      </c>
      <c r="E335" s="34">
        <v>2.4</v>
      </c>
      <c r="F335" s="34"/>
      <c r="G335" s="35">
        <f>D335*E335+0.5*1.2+1.2*1.2</f>
        <v>43.8</v>
      </c>
      <c r="H335" s="36" t="s">
        <v>332</v>
      </c>
      <c r="I335" s="149" t="s">
        <v>762</v>
      </c>
      <c r="J335" s="14"/>
      <c r="K335" s="14"/>
      <c r="L335" s="14"/>
    </row>
    <row r="336" spans="1:12" ht="63">
      <c r="A336" s="32">
        <v>43</v>
      </c>
      <c r="B336" s="33" t="s">
        <v>264</v>
      </c>
      <c r="C336" s="34" t="s">
        <v>778</v>
      </c>
      <c r="D336" s="34">
        <v>8</v>
      </c>
      <c r="E336" s="34">
        <v>2.5</v>
      </c>
      <c r="F336" s="34">
        <v>3.5</v>
      </c>
      <c r="G336" s="35">
        <f>D336*E336</f>
        <v>20</v>
      </c>
      <c r="H336" s="36" t="s">
        <v>332</v>
      </c>
      <c r="I336" s="149" t="s">
        <v>779</v>
      </c>
      <c r="J336" s="14"/>
      <c r="K336" s="14"/>
      <c r="L336" s="14"/>
    </row>
    <row r="337" spans="1:12" ht="63">
      <c r="A337" s="32">
        <v>44</v>
      </c>
      <c r="B337" s="33" t="s">
        <v>265</v>
      </c>
      <c r="C337" s="34" t="s">
        <v>763</v>
      </c>
      <c r="D337" s="34">
        <v>12.1</v>
      </c>
      <c r="E337" s="34">
        <v>3.1</v>
      </c>
      <c r="F337" s="34">
        <v>2.4</v>
      </c>
      <c r="G337" s="35">
        <f>D337*E337+0.6*1.2+1.5*1.2</f>
        <v>40.029999999999994</v>
      </c>
      <c r="H337" s="36" t="s">
        <v>334</v>
      </c>
      <c r="I337" s="149" t="s">
        <v>777</v>
      </c>
      <c r="J337" s="14"/>
      <c r="K337" s="14"/>
      <c r="L337" s="14"/>
    </row>
    <row r="338" spans="1:12" ht="64.5">
      <c r="A338" s="32">
        <v>45</v>
      </c>
      <c r="B338" s="33" t="s">
        <v>266</v>
      </c>
      <c r="C338" s="34" t="s">
        <v>775</v>
      </c>
      <c r="D338" s="34">
        <v>6</v>
      </c>
      <c r="E338" s="34">
        <v>2</v>
      </c>
      <c r="F338" s="34">
        <v>2.4</v>
      </c>
      <c r="G338" s="35">
        <f>D338*E338</f>
        <v>12</v>
      </c>
      <c r="H338" s="36" t="s">
        <v>332</v>
      </c>
      <c r="I338" s="149" t="s">
        <v>776</v>
      </c>
      <c r="J338" s="14"/>
      <c r="K338" s="14"/>
      <c r="L338" s="14"/>
    </row>
    <row r="339" spans="1:12" s="104" customFormat="1" ht="15.75">
      <c r="A339" s="101">
        <v>46</v>
      </c>
      <c r="B339" s="99" t="s">
        <v>267</v>
      </c>
      <c r="C339" s="102" t="s">
        <v>238</v>
      </c>
      <c r="D339" s="102"/>
      <c r="E339" s="102"/>
      <c r="F339" s="102"/>
      <c r="G339" s="103"/>
      <c r="H339" s="103"/>
      <c r="I339" s="160"/>
      <c r="J339" s="103"/>
      <c r="K339" s="103"/>
      <c r="L339" s="103"/>
    </row>
    <row r="340" spans="1:12" ht="15.75">
      <c r="A340" s="423" t="s">
        <v>98</v>
      </c>
      <c r="B340" s="424"/>
      <c r="C340" s="424"/>
      <c r="D340" s="21"/>
      <c r="E340" s="21"/>
      <c r="F340" s="21"/>
      <c r="G340" s="14"/>
      <c r="H340" s="14"/>
      <c r="I340" s="156"/>
      <c r="J340" s="14"/>
      <c r="K340" s="14"/>
      <c r="L340" s="14"/>
    </row>
    <row r="341" spans="1:12" s="37" customFormat="1" ht="78.75">
      <c r="A341" s="61">
        <v>47</v>
      </c>
      <c r="B341" s="39" t="s">
        <v>462</v>
      </c>
      <c r="C341" s="34" t="s">
        <v>590</v>
      </c>
      <c r="D341" s="34">
        <v>12</v>
      </c>
      <c r="E341" s="34">
        <v>2.3</v>
      </c>
      <c r="F341" s="34">
        <v>2.55</v>
      </c>
      <c r="G341" s="35">
        <f>D341*E341+2.4*2</f>
        <v>32.4</v>
      </c>
      <c r="H341" s="36" t="s">
        <v>334</v>
      </c>
      <c r="I341" s="149" t="s">
        <v>347</v>
      </c>
      <c r="J341" s="36">
        <v>1</v>
      </c>
      <c r="K341" s="36"/>
      <c r="L341" s="36"/>
    </row>
    <row r="342" spans="1:12" s="37" customFormat="1" ht="63">
      <c r="A342" s="61">
        <v>47</v>
      </c>
      <c r="B342" s="39" t="s">
        <v>602</v>
      </c>
      <c r="C342" s="34" t="s">
        <v>603</v>
      </c>
      <c r="D342" s="34">
        <v>12</v>
      </c>
      <c r="E342" s="34">
        <v>3.6</v>
      </c>
      <c r="F342" s="34">
        <v>2.44</v>
      </c>
      <c r="G342" s="35">
        <f>D342*E342-2.4*3</f>
        <v>36</v>
      </c>
      <c r="H342" s="36" t="s">
        <v>465</v>
      </c>
      <c r="I342" s="149" t="s">
        <v>604</v>
      </c>
      <c r="J342" s="36"/>
      <c r="K342" s="36"/>
      <c r="L342" s="36"/>
    </row>
    <row r="343" spans="1:12" s="77" customFormat="1" ht="15.75">
      <c r="A343" s="72">
        <v>49</v>
      </c>
      <c r="B343" s="73" t="s">
        <v>100</v>
      </c>
      <c r="C343" s="74" t="s">
        <v>463</v>
      </c>
      <c r="D343" s="74">
        <v>9</v>
      </c>
      <c r="E343" s="74">
        <v>3</v>
      </c>
      <c r="F343" s="74"/>
      <c r="G343" s="75">
        <f>D343*E343</f>
        <v>27</v>
      </c>
      <c r="H343" s="76" t="s">
        <v>363</v>
      </c>
      <c r="I343" s="150" t="s">
        <v>464</v>
      </c>
      <c r="J343" s="76"/>
      <c r="K343" s="76"/>
      <c r="L343" s="76"/>
    </row>
    <row r="344" spans="1:12" s="37" customFormat="1" ht="63">
      <c r="A344" s="32">
        <v>50</v>
      </c>
      <c r="B344" s="33" t="s">
        <v>101</v>
      </c>
      <c r="C344" s="44" t="s">
        <v>600</v>
      </c>
      <c r="D344" s="44">
        <v>9.5</v>
      </c>
      <c r="E344" s="44">
        <v>4.8</v>
      </c>
      <c r="F344" s="44">
        <v>3.5</v>
      </c>
      <c r="G344" s="45">
        <f>D344*E344</f>
        <v>45.6</v>
      </c>
      <c r="H344" s="46" t="s">
        <v>465</v>
      </c>
      <c r="I344" s="151" t="s">
        <v>601</v>
      </c>
      <c r="J344" s="36">
        <v>1</v>
      </c>
      <c r="K344" s="36"/>
      <c r="L344" s="36"/>
    </row>
    <row r="345" spans="1:12" s="47" customFormat="1" ht="63">
      <c r="A345" s="42">
        <v>51</v>
      </c>
      <c r="B345" s="43" t="s">
        <v>102</v>
      </c>
      <c r="C345" s="44" t="s">
        <v>467</v>
      </c>
      <c r="D345" s="44">
        <v>8</v>
      </c>
      <c r="E345" s="44">
        <v>4</v>
      </c>
      <c r="F345" s="44">
        <v>2.3</v>
      </c>
      <c r="G345" s="45">
        <f>D345*E345</f>
        <v>32</v>
      </c>
      <c r="H345" s="46" t="s">
        <v>465</v>
      </c>
      <c r="I345" s="151" t="s">
        <v>466</v>
      </c>
      <c r="J345" s="46">
        <v>1</v>
      </c>
      <c r="K345" s="46"/>
      <c r="L345" s="46"/>
    </row>
    <row r="346" spans="1:12" s="37" customFormat="1" ht="63">
      <c r="A346" s="32">
        <v>52</v>
      </c>
      <c r="B346" s="33" t="s">
        <v>103</v>
      </c>
      <c r="C346" s="44" t="s">
        <v>599</v>
      </c>
      <c r="D346" s="44">
        <v>4.6</v>
      </c>
      <c r="E346" s="44">
        <v>2.05</v>
      </c>
      <c r="F346" s="44">
        <v>2.4</v>
      </c>
      <c r="G346" s="45">
        <f>D346*E346</f>
        <v>9.429999999999998</v>
      </c>
      <c r="H346" s="46" t="s">
        <v>352</v>
      </c>
      <c r="I346" s="151" t="s">
        <v>468</v>
      </c>
      <c r="J346" s="36"/>
      <c r="K346" s="36"/>
      <c r="L346" s="36"/>
    </row>
    <row r="347" spans="1:12" s="47" customFormat="1" ht="63">
      <c r="A347" s="42">
        <v>53</v>
      </c>
      <c r="B347" s="43" t="s">
        <v>104</v>
      </c>
      <c r="C347" s="44" t="s">
        <v>469</v>
      </c>
      <c r="D347" s="44">
        <v>8.25</v>
      </c>
      <c r="E347" s="44">
        <v>3.05</v>
      </c>
      <c r="F347" s="44">
        <v>2.75</v>
      </c>
      <c r="G347" s="45">
        <f>D347*E347</f>
        <v>25.162499999999998</v>
      </c>
      <c r="H347" s="46" t="s">
        <v>352</v>
      </c>
      <c r="I347" s="151" t="s">
        <v>468</v>
      </c>
      <c r="J347" s="46"/>
      <c r="K347" s="46"/>
      <c r="L347" s="46"/>
    </row>
    <row r="348" spans="1:12" s="37" customFormat="1" ht="63">
      <c r="A348" s="32">
        <v>54</v>
      </c>
      <c r="B348" s="33" t="s">
        <v>105</v>
      </c>
      <c r="C348" s="44" t="s">
        <v>597</v>
      </c>
      <c r="D348" s="44">
        <v>9</v>
      </c>
      <c r="E348" s="44">
        <v>5.5</v>
      </c>
      <c r="F348" s="44">
        <v>2.8</v>
      </c>
      <c r="G348" s="45">
        <f>D348*E348+1.4*1.2</f>
        <v>51.18</v>
      </c>
      <c r="H348" s="46" t="s">
        <v>465</v>
      </c>
      <c r="I348" s="151" t="s">
        <v>598</v>
      </c>
      <c r="J348" s="36">
        <v>1</v>
      </c>
      <c r="K348" s="36"/>
      <c r="L348" s="36"/>
    </row>
    <row r="349" spans="1:12" s="47" customFormat="1" ht="15.75">
      <c r="A349" s="42">
        <v>55</v>
      </c>
      <c r="B349" s="43" t="s">
        <v>106</v>
      </c>
      <c r="C349" s="44" t="s">
        <v>463</v>
      </c>
      <c r="D349" s="44">
        <v>5.95</v>
      </c>
      <c r="E349" s="44">
        <v>1.4</v>
      </c>
      <c r="F349" s="44"/>
      <c r="G349" s="45">
        <f>D349*E349</f>
        <v>8.33</v>
      </c>
      <c r="H349" s="46" t="s">
        <v>334</v>
      </c>
      <c r="I349" s="151"/>
      <c r="J349" s="46"/>
      <c r="K349" s="46"/>
      <c r="L349" s="46"/>
    </row>
    <row r="350" spans="1:12" s="37" customFormat="1" ht="63">
      <c r="A350" s="32">
        <v>56</v>
      </c>
      <c r="B350" s="33" t="s">
        <v>107</v>
      </c>
      <c r="C350" s="44" t="s">
        <v>595</v>
      </c>
      <c r="D350" s="44">
        <v>14.7</v>
      </c>
      <c r="E350" s="44">
        <v>2.35</v>
      </c>
      <c r="F350" s="44">
        <v>2.3</v>
      </c>
      <c r="G350" s="45">
        <f>D350*E350</f>
        <v>34.545</v>
      </c>
      <c r="H350" s="46" t="s">
        <v>465</v>
      </c>
      <c r="I350" s="151" t="s">
        <v>596</v>
      </c>
      <c r="J350" s="36">
        <v>1</v>
      </c>
      <c r="K350" s="36"/>
      <c r="L350" s="36"/>
    </row>
    <row r="351" spans="1:12" s="47" customFormat="1" ht="63">
      <c r="A351" s="42">
        <v>57</v>
      </c>
      <c r="B351" s="43" t="s">
        <v>108</v>
      </c>
      <c r="C351" s="44" t="s">
        <v>470</v>
      </c>
      <c r="D351" s="44">
        <v>4.1</v>
      </c>
      <c r="E351" s="44">
        <v>1.6</v>
      </c>
      <c r="F351" s="44">
        <v>2.4</v>
      </c>
      <c r="G351" s="45">
        <f>D351*E351</f>
        <v>6.56</v>
      </c>
      <c r="H351" s="46" t="s">
        <v>465</v>
      </c>
      <c r="I351" s="151" t="s">
        <v>471</v>
      </c>
      <c r="J351" s="46"/>
      <c r="K351" s="46"/>
      <c r="L351" s="46"/>
    </row>
    <row r="352" spans="1:12" s="37" customFormat="1" ht="63">
      <c r="A352" s="32">
        <v>58</v>
      </c>
      <c r="B352" s="33" t="s">
        <v>109</v>
      </c>
      <c r="C352" s="44" t="s">
        <v>593</v>
      </c>
      <c r="D352" s="44">
        <v>6.05</v>
      </c>
      <c r="E352" s="44">
        <v>3.15</v>
      </c>
      <c r="F352" s="44">
        <v>2.55</v>
      </c>
      <c r="G352" s="45">
        <f>D352*E352</f>
        <v>19.057499999999997</v>
      </c>
      <c r="H352" s="46" t="s">
        <v>465</v>
      </c>
      <c r="I352" s="151" t="s">
        <v>594</v>
      </c>
      <c r="J352" s="36">
        <v>1</v>
      </c>
      <c r="K352" s="36"/>
      <c r="L352" s="36"/>
    </row>
    <row r="353" spans="1:12" s="47" customFormat="1" ht="63">
      <c r="A353" s="42">
        <v>59</v>
      </c>
      <c r="B353" s="43" t="s">
        <v>110</v>
      </c>
      <c r="C353" s="44" t="s">
        <v>472</v>
      </c>
      <c r="D353" s="44">
        <v>6</v>
      </c>
      <c r="E353" s="44">
        <v>2</v>
      </c>
      <c r="F353" s="44">
        <v>2.5</v>
      </c>
      <c r="G353" s="45">
        <f>D353*E353</f>
        <v>12</v>
      </c>
      <c r="H353" s="46" t="s">
        <v>334</v>
      </c>
      <c r="I353" s="151"/>
      <c r="J353" s="46">
        <v>1</v>
      </c>
      <c r="K353" s="46"/>
      <c r="L353" s="46"/>
    </row>
    <row r="354" spans="1:12" s="47" customFormat="1" ht="63">
      <c r="A354" s="42">
        <v>60</v>
      </c>
      <c r="B354" s="43" t="s">
        <v>111</v>
      </c>
      <c r="C354" s="44" t="s">
        <v>591</v>
      </c>
      <c r="D354" s="44">
        <v>9.8</v>
      </c>
      <c r="E354" s="44">
        <v>2.1</v>
      </c>
      <c r="F354" s="44">
        <v>2.55</v>
      </c>
      <c r="G354" s="45">
        <f>D354*E354+4*3</f>
        <v>32.58</v>
      </c>
      <c r="H354" s="46" t="s">
        <v>465</v>
      </c>
      <c r="I354" s="151" t="s">
        <v>592</v>
      </c>
      <c r="J354" s="46">
        <v>1</v>
      </c>
      <c r="K354" s="46"/>
      <c r="L354" s="46"/>
    </row>
    <row r="355" spans="1:12" s="37" customFormat="1" ht="63">
      <c r="A355" s="32">
        <v>61</v>
      </c>
      <c r="B355" s="33" t="s">
        <v>112</v>
      </c>
      <c r="C355" s="34" t="s">
        <v>473</v>
      </c>
      <c r="D355" s="34">
        <v>4.5</v>
      </c>
      <c r="E355" s="34">
        <v>2.9</v>
      </c>
      <c r="F355" s="34">
        <v>2.55</v>
      </c>
      <c r="G355" s="35">
        <f>D355*E355</f>
        <v>13.049999999999999</v>
      </c>
      <c r="H355" s="36" t="s">
        <v>465</v>
      </c>
      <c r="I355" s="149" t="s">
        <v>474</v>
      </c>
      <c r="J355" s="36">
        <v>1</v>
      </c>
      <c r="K355" s="36"/>
      <c r="L355" s="36"/>
    </row>
    <row r="356" spans="1:12" ht="15.75">
      <c r="A356" s="423" t="s">
        <v>248</v>
      </c>
      <c r="B356" s="424"/>
      <c r="C356" s="424"/>
      <c r="D356" s="21"/>
      <c r="E356" s="21"/>
      <c r="F356" s="21"/>
      <c r="G356" s="14"/>
      <c r="H356" s="14"/>
      <c r="I356" s="156"/>
      <c r="J356" s="14"/>
      <c r="K356" s="14"/>
      <c r="L356" s="14"/>
    </row>
    <row r="357" spans="1:12" ht="15.75">
      <c r="A357" s="25">
        <v>171</v>
      </c>
      <c r="B357" s="27" t="s">
        <v>138</v>
      </c>
      <c r="C357" s="18" t="s">
        <v>240</v>
      </c>
      <c r="D357" s="18"/>
      <c r="E357" s="18"/>
      <c r="F357" s="18"/>
      <c r="G357" s="14"/>
      <c r="H357" s="14"/>
      <c r="I357" s="156"/>
      <c r="J357" s="14"/>
      <c r="K357" s="14"/>
      <c r="L357" s="14"/>
    </row>
    <row r="358" spans="1:12" s="77" customFormat="1" ht="15.75">
      <c r="A358" s="72">
        <v>172</v>
      </c>
      <c r="B358" s="73" t="s">
        <v>286</v>
      </c>
      <c r="C358" s="74" t="s">
        <v>389</v>
      </c>
      <c r="D358" s="74"/>
      <c r="E358" s="74"/>
      <c r="F358" s="74"/>
      <c r="G358" s="76"/>
      <c r="H358" s="76"/>
      <c r="I358" s="157"/>
      <c r="J358" s="76"/>
      <c r="K358" s="76"/>
      <c r="L358" s="76"/>
    </row>
    <row r="360" ht="12.75">
      <c r="G360" s="143">
        <f>SUM(G5:G358)</f>
        <v>7182.105049999998</v>
      </c>
    </row>
    <row r="361" ht="12.75">
      <c r="B361" s="28"/>
    </row>
  </sheetData>
  <sheetProtection/>
  <mergeCells count="113">
    <mergeCell ref="A322:A323"/>
    <mergeCell ref="B322:B323"/>
    <mergeCell ref="A316:A317"/>
    <mergeCell ref="B316:B317"/>
    <mergeCell ref="A312:A313"/>
    <mergeCell ref="B312:B313"/>
    <mergeCell ref="A314:A315"/>
    <mergeCell ref="B314:B315"/>
    <mergeCell ref="A318:A319"/>
    <mergeCell ref="B318:B319"/>
    <mergeCell ref="A52:A53"/>
    <mergeCell ref="B52:B53"/>
    <mergeCell ref="A141:A142"/>
    <mergeCell ref="B141:B142"/>
    <mergeCell ref="A72:C72"/>
    <mergeCell ref="A76:C76"/>
    <mergeCell ref="A117:C117"/>
    <mergeCell ref="A85:C85"/>
    <mergeCell ref="B96:B97"/>
    <mergeCell ref="A82:A83"/>
    <mergeCell ref="B287:B288"/>
    <mergeCell ref="B243:B244"/>
    <mergeCell ref="A241:A242"/>
    <mergeCell ref="B241:B242"/>
    <mergeCell ref="A239:A240"/>
    <mergeCell ref="A176:A177"/>
    <mergeCell ref="B176:B177"/>
    <mergeCell ref="A304:C304"/>
    <mergeCell ref="A43:C43"/>
    <mergeCell ref="A47:C47"/>
    <mergeCell ref="A58:C58"/>
    <mergeCell ref="A68:C68"/>
    <mergeCell ref="A99:C99"/>
    <mergeCell ref="A110:C110"/>
    <mergeCell ref="B82:B83"/>
    <mergeCell ref="A90:A91"/>
    <mergeCell ref="B90:B91"/>
    <mergeCell ref="A89:C89"/>
    <mergeCell ref="A225:A226"/>
    <mergeCell ref="B225:B226"/>
    <mergeCell ref="A283:C283"/>
    <mergeCell ref="A205:A206"/>
    <mergeCell ref="B205:B206"/>
    <mergeCell ref="A232:C232"/>
    <mergeCell ref="A194:C194"/>
    <mergeCell ref="A113:C113"/>
    <mergeCell ref="A96:A97"/>
    <mergeCell ref="A50:A51"/>
    <mergeCell ref="B50:B51"/>
    <mergeCell ref="A356:C356"/>
    <mergeCell ref="A147:C147"/>
    <mergeCell ref="A149:C149"/>
    <mergeCell ref="A153:C153"/>
    <mergeCell ref="A309:C309"/>
    <mergeCell ref="A132:C132"/>
    <mergeCell ref="A120:C120"/>
    <mergeCell ref="B94:B95"/>
    <mergeCell ref="A340:C340"/>
    <mergeCell ref="A280:I280"/>
    <mergeCell ref="A281:C281"/>
    <mergeCell ref="A1:I1"/>
    <mergeCell ref="A183:C183"/>
    <mergeCell ref="A166:C166"/>
    <mergeCell ref="A174:C174"/>
    <mergeCell ref="A255:C255"/>
    <mergeCell ref="A223:C223"/>
    <mergeCell ref="A229:C229"/>
    <mergeCell ref="A4:C4"/>
    <mergeCell ref="A7:C7"/>
    <mergeCell ref="A9:C9"/>
    <mergeCell ref="A11:C11"/>
    <mergeCell ref="A192:C192"/>
    <mergeCell ref="A139:C139"/>
    <mergeCell ref="A124:C124"/>
    <mergeCell ref="A29:C29"/>
    <mergeCell ref="A36:C36"/>
    <mergeCell ref="A115:C115"/>
    <mergeCell ref="L3:L5"/>
    <mergeCell ref="A270:C270"/>
    <mergeCell ref="A13:C13"/>
    <mergeCell ref="A15:C15"/>
    <mergeCell ref="A236:C236"/>
    <mergeCell ref="A250:C250"/>
    <mergeCell ref="A198:C198"/>
    <mergeCell ref="A200:C200"/>
    <mergeCell ref="A204:C204"/>
    <mergeCell ref="A216:C216"/>
    <mergeCell ref="A92:A93"/>
    <mergeCell ref="B92:B93"/>
    <mergeCell ref="A94:A95"/>
    <mergeCell ref="A179:C179"/>
    <mergeCell ref="A122:C122"/>
    <mergeCell ref="A187:C187"/>
    <mergeCell ref="A80:C80"/>
    <mergeCell ref="B23:B24"/>
    <mergeCell ref="A289:A290"/>
    <mergeCell ref="B289:B290"/>
    <mergeCell ref="A136:C136"/>
    <mergeCell ref="A129:C129"/>
    <mergeCell ref="A23:A24"/>
    <mergeCell ref="A105:A106"/>
    <mergeCell ref="B105:B106"/>
    <mergeCell ref="A243:A244"/>
    <mergeCell ref="B324:B325"/>
    <mergeCell ref="A324:A325"/>
    <mergeCell ref="B239:B240"/>
    <mergeCell ref="B60:C60"/>
    <mergeCell ref="B66:C66"/>
    <mergeCell ref="A167:A168"/>
    <mergeCell ref="B167:B168"/>
    <mergeCell ref="A320:A321"/>
    <mergeCell ref="B320:B321"/>
    <mergeCell ref="A287:A28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7"/>
  <sheetViews>
    <sheetView view="pageLayout" workbookViewId="0" topLeftCell="A1">
      <selection activeCell="A245" sqref="A245:C245"/>
    </sheetView>
  </sheetViews>
  <sheetFormatPr defaultColWidth="9.00390625" defaultRowHeight="12.75"/>
  <cols>
    <col min="1" max="1" width="4.25390625" style="23" customWidth="1"/>
    <col min="2" max="2" width="35.75390625" style="29" customWidth="1"/>
    <col min="3" max="3" width="42.875" style="15" customWidth="1"/>
    <col min="4" max="6" width="5.75390625" style="15" customWidth="1"/>
    <col min="7" max="9" width="5.75390625" style="0" customWidth="1"/>
    <col min="10" max="10" width="14.875" style="0" customWidth="1"/>
    <col min="11" max="11" width="28.625" style="183" customWidth="1"/>
  </cols>
  <sheetData>
    <row r="1" spans="1:11" ht="35.25" customHeight="1" thickBot="1">
      <c r="A1" s="386" t="s">
        <v>926</v>
      </c>
      <c r="B1" s="387"/>
      <c r="C1" s="387"/>
      <c r="D1" s="387"/>
      <c r="E1" s="387"/>
      <c r="F1" s="387"/>
      <c r="G1" s="355"/>
      <c r="H1" s="355"/>
      <c r="I1" s="355"/>
      <c r="J1" s="355"/>
      <c r="K1" s="355"/>
    </row>
    <row r="2" spans="1:11" ht="63.75">
      <c r="A2" s="24" t="s">
        <v>324</v>
      </c>
      <c r="B2" s="26" t="s">
        <v>325</v>
      </c>
      <c r="C2" s="16" t="s">
        <v>326</v>
      </c>
      <c r="D2" s="16" t="s">
        <v>339</v>
      </c>
      <c r="E2" s="16" t="s">
        <v>340</v>
      </c>
      <c r="F2" s="16" t="s">
        <v>342</v>
      </c>
      <c r="G2" s="17" t="s">
        <v>336</v>
      </c>
      <c r="H2" s="17" t="s">
        <v>873</v>
      </c>
      <c r="I2" s="17" t="s">
        <v>872</v>
      </c>
      <c r="J2" s="17" t="s">
        <v>327</v>
      </c>
      <c r="K2" s="17" t="s">
        <v>328</v>
      </c>
    </row>
    <row r="3" spans="1:11" s="23" customFormat="1" ht="12.75">
      <c r="A3" s="25">
        <v>1</v>
      </c>
      <c r="B3" s="22">
        <v>2</v>
      </c>
      <c r="C3" s="22">
        <v>3</v>
      </c>
      <c r="D3" s="22">
        <v>4</v>
      </c>
      <c r="E3" s="22">
        <v>5</v>
      </c>
      <c r="F3" s="22"/>
      <c r="G3" s="30">
        <v>6</v>
      </c>
      <c r="H3" s="30"/>
      <c r="I3" s="30"/>
      <c r="J3" s="30">
        <v>8</v>
      </c>
      <c r="K3" s="30">
        <v>9</v>
      </c>
    </row>
    <row r="4" spans="1:11" ht="15.75">
      <c r="A4" s="388" t="s">
        <v>856</v>
      </c>
      <c r="B4" s="415"/>
      <c r="C4" s="416"/>
      <c r="D4" s="20"/>
      <c r="E4" s="20"/>
      <c r="F4" s="20"/>
      <c r="G4" s="14"/>
      <c r="H4" s="14"/>
      <c r="I4" s="14"/>
      <c r="J4" s="14"/>
      <c r="K4" s="180"/>
    </row>
    <row r="5" spans="1:11" s="71" customFormat="1" ht="46.5" customHeight="1">
      <c r="A5" s="228">
        <v>1</v>
      </c>
      <c r="B5" s="229" t="s">
        <v>888</v>
      </c>
      <c r="C5" s="83" t="s">
        <v>679</v>
      </c>
      <c r="D5" s="83">
        <v>4</v>
      </c>
      <c r="E5" s="83">
        <v>5.2</v>
      </c>
      <c r="F5" s="83">
        <v>3.5</v>
      </c>
      <c r="G5" s="84">
        <f>D5*E5</f>
        <v>20.8</v>
      </c>
      <c r="H5" s="84"/>
      <c r="I5" s="84"/>
      <c r="J5" s="70" t="s">
        <v>334</v>
      </c>
      <c r="K5" s="232"/>
    </row>
    <row r="6" spans="1:11" s="71" customFormat="1" ht="34.5" customHeight="1">
      <c r="A6" s="228">
        <v>2</v>
      </c>
      <c r="B6" s="229" t="s">
        <v>889</v>
      </c>
      <c r="C6" s="83" t="s">
        <v>671</v>
      </c>
      <c r="D6" s="83">
        <v>17.7</v>
      </c>
      <c r="E6" s="83">
        <v>2.7</v>
      </c>
      <c r="F6" s="83"/>
      <c r="G6" s="84">
        <f>D6*E6</f>
        <v>47.79</v>
      </c>
      <c r="H6" s="84"/>
      <c r="I6" s="84"/>
      <c r="J6" s="70" t="s">
        <v>332</v>
      </c>
      <c r="K6" s="232" t="s">
        <v>532</v>
      </c>
    </row>
    <row r="7" spans="1:11" s="71" customFormat="1" ht="15.75">
      <c r="A7" s="391" t="s">
        <v>531</v>
      </c>
      <c r="B7" s="394"/>
      <c r="C7" s="395"/>
      <c r="D7" s="215"/>
      <c r="E7" s="215"/>
      <c r="F7" s="215"/>
      <c r="G7" s="70"/>
      <c r="H7" s="70"/>
      <c r="I7" s="70"/>
      <c r="J7" s="70"/>
      <c r="K7" s="232"/>
    </row>
    <row r="8" spans="1:11" s="71" customFormat="1" ht="47.25">
      <c r="A8" s="228">
        <v>3</v>
      </c>
      <c r="B8" s="121" t="s">
        <v>3</v>
      </c>
      <c r="C8" s="83" t="s">
        <v>850</v>
      </c>
      <c r="D8" s="83">
        <v>3</v>
      </c>
      <c r="E8" s="83">
        <v>1.5</v>
      </c>
      <c r="F8" s="83">
        <v>2.7</v>
      </c>
      <c r="G8" s="84">
        <f>D8*E8</f>
        <v>4.5</v>
      </c>
      <c r="H8" s="84"/>
      <c r="I8" s="84"/>
      <c r="J8" s="70" t="s">
        <v>332</v>
      </c>
      <c r="K8" s="232" t="s">
        <v>851</v>
      </c>
    </row>
    <row r="9" spans="1:11" s="71" customFormat="1" ht="15.75">
      <c r="A9" s="391" t="s">
        <v>4</v>
      </c>
      <c r="B9" s="394"/>
      <c r="C9" s="395"/>
      <c r="D9" s="215"/>
      <c r="E9" s="215"/>
      <c r="F9" s="215"/>
      <c r="G9" s="70"/>
      <c r="H9" s="70"/>
      <c r="I9" s="70"/>
      <c r="J9" s="70"/>
      <c r="K9" s="232"/>
    </row>
    <row r="10" spans="1:11" s="71" customFormat="1" ht="64.5">
      <c r="A10" s="228">
        <v>4</v>
      </c>
      <c r="B10" s="229" t="s">
        <v>5</v>
      </c>
      <c r="C10" s="83" t="s">
        <v>486</v>
      </c>
      <c r="D10" s="83">
        <v>4.5</v>
      </c>
      <c r="E10" s="83">
        <v>1.85</v>
      </c>
      <c r="F10" s="83">
        <v>2.75</v>
      </c>
      <c r="G10" s="84">
        <f>D10*E10</f>
        <v>8.325000000000001</v>
      </c>
      <c r="H10" s="84"/>
      <c r="I10" s="84"/>
      <c r="J10" s="70" t="s">
        <v>352</v>
      </c>
      <c r="K10" s="232" t="s">
        <v>413</v>
      </c>
    </row>
    <row r="11" spans="1:11" s="71" customFormat="1" ht="15.75">
      <c r="A11" s="391" t="s">
        <v>8</v>
      </c>
      <c r="B11" s="394"/>
      <c r="C11" s="395"/>
      <c r="D11" s="215"/>
      <c r="E11" s="215"/>
      <c r="F11" s="215"/>
      <c r="G11" s="70"/>
      <c r="H11" s="70"/>
      <c r="I11" s="70"/>
      <c r="J11" s="70"/>
      <c r="K11" s="232"/>
    </row>
    <row r="12" spans="1:11" s="71" customFormat="1" ht="63">
      <c r="A12" s="228">
        <v>5</v>
      </c>
      <c r="B12" s="229" t="s">
        <v>9</v>
      </c>
      <c r="C12" s="83" t="s">
        <v>774</v>
      </c>
      <c r="D12" s="83">
        <v>10.6</v>
      </c>
      <c r="E12" s="83">
        <v>4.4</v>
      </c>
      <c r="F12" s="83">
        <v>2.75</v>
      </c>
      <c r="G12" s="84">
        <f>D12*E12</f>
        <v>46.64</v>
      </c>
      <c r="H12" s="84"/>
      <c r="I12" s="84"/>
      <c r="J12" s="70" t="s">
        <v>334</v>
      </c>
      <c r="K12" s="232"/>
    </row>
    <row r="13" spans="1:11" s="71" customFormat="1" ht="15.75">
      <c r="A13" s="391" t="s">
        <v>12</v>
      </c>
      <c r="B13" s="394"/>
      <c r="C13" s="395"/>
      <c r="D13" s="215"/>
      <c r="E13" s="215"/>
      <c r="F13" s="215"/>
      <c r="G13" s="70"/>
      <c r="H13" s="70"/>
      <c r="I13" s="70"/>
      <c r="J13" s="70"/>
      <c r="K13" s="232"/>
    </row>
    <row r="14" spans="1:11" s="71" customFormat="1" ht="48.75" customHeight="1">
      <c r="A14" s="101">
        <v>6</v>
      </c>
      <c r="B14" s="229" t="s">
        <v>432</v>
      </c>
      <c r="C14" s="83" t="s">
        <v>487</v>
      </c>
      <c r="D14" s="83">
        <v>5.4</v>
      </c>
      <c r="E14" s="83">
        <v>1.5</v>
      </c>
      <c r="F14" s="83">
        <v>2.25</v>
      </c>
      <c r="G14" s="84">
        <f>D14*E14</f>
        <v>8.100000000000001</v>
      </c>
      <c r="H14" s="84"/>
      <c r="I14" s="84"/>
      <c r="J14" s="70" t="s">
        <v>332</v>
      </c>
      <c r="K14" s="232" t="s">
        <v>433</v>
      </c>
    </row>
    <row r="15" spans="1:11" s="71" customFormat="1" ht="78.75">
      <c r="A15" s="233">
        <v>7</v>
      </c>
      <c r="B15" s="201" t="s">
        <v>14</v>
      </c>
      <c r="C15" s="210" t="s">
        <v>923</v>
      </c>
      <c r="D15" s="210">
        <v>3.9</v>
      </c>
      <c r="E15" s="210">
        <v>1.5</v>
      </c>
      <c r="F15" s="210">
        <v>2.3</v>
      </c>
      <c r="G15" s="212">
        <f>D15*E15</f>
        <v>5.85</v>
      </c>
      <c r="H15" s="212"/>
      <c r="I15" s="212"/>
      <c r="J15" s="212" t="s">
        <v>875</v>
      </c>
      <c r="K15" s="144" t="s">
        <v>922</v>
      </c>
    </row>
    <row r="16" spans="1:11" s="71" customFormat="1" ht="31.5">
      <c r="A16" s="233">
        <v>8</v>
      </c>
      <c r="B16" s="201" t="s">
        <v>15</v>
      </c>
      <c r="C16" s="210" t="s">
        <v>925</v>
      </c>
      <c r="D16" s="210">
        <v>7.5</v>
      </c>
      <c r="E16" s="210">
        <v>2</v>
      </c>
      <c r="F16" s="210"/>
      <c r="G16" s="211">
        <f>D16*E16</f>
        <v>15</v>
      </c>
      <c r="H16" s="211"/>
      <c r="I16" s="211"/>
      <c r="J16" s="212" t="s">
        <v>875</v>
      </c>
      <c r="K16" s="144" t="s">
        <v>924</v>
      </c>
    </row>
    <row r="17" spans="1:11" s="71" customFormat="1" ht="42.75" customHeight="1">
      <c r="A17" s="228">
        <v>9</v>
      </c>
      <c r="B17" s="229" t="s">
        <v>16</v>
      </c>
      <c r="C17" s="83" t="s">
        <v>488</v>
      </c>
      <c r="D17" s="83">
        <v>6</v>
      </c>
      <c r="E17" s="83">
        <v>2</v>
      </c>
      <c r="F17" s="83">
        <v>2.9</v>
      </c>
      <c r="G17" s="84">
        <f>D17*E17</f>
        <v>12</v>
      </c>
      <c r="H17" s="84"/>
      <c r="I17" s="84"/>
      <c r="J17" s="70" t="s">
        <v>332</v>
      </c>
      <c r="K17" s="232" t="s">
        <v>437</v>
      </c>
    </row>
    <row r="18" spans="1:11" s="71" customFormat="1" ht="47.25">
      <c r="A18" s="228">
        <v>10</v>
      </c>
      <c r="B18" s="229" t="s">
        <v>17</v>
      </c>
      <c r="C18" s="83" t="s">
        <v>659</v>
      </c>
      <c r="D18" s="83" t="s">
        <v>228</v>
      </c>
      <c r="E18" s="83"/>
      <c r="F18" s="83"/>
      <c r="G18" s="70">
        <v>6.6</v>
      </c>
      <c r="H18" s="70"/>
      <c r="I18" s="70"/>
      <c r="J18" s="70" t="s">
        <v>332</v>
      </c>
      <c r="K18" s="232" t="s">
        <v>333</v>
      </c>
    </row>
    <row r="19" spans="1:13" s="71" customFormat="1" ht="39" customHeight="1">
      <c r="A19" s="228">
        <v>11</v>
      </c>
      <c r="B19" s="229" t="s">
        <v>18</v>
      </c>
      <c r="C19" s="83" t="s">
        <v>438</v>
      </c>
      <c r="D19" s="83"/>
      <c r="E19" s="83"/>
      <c r="F19" s="83"/>
      <c r="G19" s="70"/>
      <c r="H19" s="70"/>
      <c r="I19" s="70"/>
      <c r="J19" s="70"/>
      <c r="K19" s="232" t="s">
        <v>489</v>
      </c>
      <c r="M19" s="85" t="s">
        <v>861</v>
      </c>
    </row>
    <row r="20" spans="1:11" s="71" customFormat="1" ht="78.75">
      <c r="A20" s="217">
        <v>12</v>
      </c>
      <c r="B20" s="218" t="s">
        <v>440</v>
      </c>
      <c r="C20" s="83" t="s">
        <v>663</v>
      </c>
      <c r="D20" s="83">
        <v>15.5</v>
      </c>
      <c r="E20" s="83">
        <v>2.35</v>
      </c>
      <c r="F20" s="83">
        <v>2.3</v>
      </c>
      <c r="G20" s="84">
        <f>D20*E20+0.9*1.2</f>
        <v>37.505</v>
      </c>
      <c r="H20" s="84"/>
      <c r="I20" s="84"/>
      <c r="J20" s="70" t="s">
        <v>334</v>
      </c>
      <c r="K20" s="232" t="s">
        <v>490</v>
      </c>
    </row>
    <row r="21" spans="1:11" s="71" customFormat="1" ht="15.75">
      <c r="A21" s="396">
        <v>13</v>
      </c>
      <c r="B21" s="398" t="s">
        <v>441</v>
      </c>
      <c r="C21" s="83" t="s">
        <v>341</v>
      </c>
      <c r="D21" s="83">
        <v>3.03</v>
      </c>
      <c r="E21" s="83">
        <v>2.01</v>
      </c>
      <c r="F21" s="83"/>
      <c r="G21" s="84">
        <f>D21*E21</f>
        <v>6.090299999999999</v>
      </c>
      <c r="H21" s="84"/>
      <c r="I21" s="84"/>
      <c r="J21" s="70" t="s">
        <v>332</v>
      </c>
      <c r="K21" s="232"/>
    </row>
    <row r="22" spans="1:11" s="71" customFormat="1" ht="63">
      <c r="A22" s="397"/>
      <c r="B22" s="399"/>
      <c r="C22" s="83" t="s">
        <v>658</v>
      </c>
      <c r="D22" s="83">
        <v>4.06</v>
      </c>
      <c r="E22" s="83">
        <v>2.14</v>
      </c>
      <c r="F22" s="83"/>
      <c r="G22" s="84">
        <f>D22*E22+3.03*1.1</f>
        <v>12.0214</v>
      </c>
      <c r="H22" s="84"/>
      <c r="I22" s="84"/>
      <c r="J22" s="70" t="s">
        <v>332</v>
      </c>
      <c r="K22" s="232" t="s">
        <v>533</v>
      </c>
    </row>
    <row r="23" spans="1:11" s="126" customFormat="1" ht="78.75">
      <c r="A23" s="122">
        <v>14</v>
      </c>
      <c r="B23" s="123" t="s">
        <v>439</v>
      </c>
      <c r="C23" s="226" t="s">
        <v>662</v>
      </c>
      <c r="D23" s="226">
        <v>7.18</v>
      </c>
      <c r="E23" s="226">
        <v>2.63</v>
      </c>
      <c r="F23" s="226">
        <v>2.3</v>
      </c>
      <c r="G23" s="124">
        <f>D23*E23</f>
        <v>18.883399999999998</v>
      </c>
      <c r="H23" s="124"/>
      <c r="I23" s="124"/>
      <c r="J23" s="125" t="s">
        <v>334</v>
      </c>
      <c r="K23" s="227" t="s">
        <v>442</v>
      </c>
    </row>
    <row r="24" spans="1:11" s="126" customFormat="1" ht="36" customHeight="1">
      <c r="A24" s="127">
        <v>15</v>
      </c>
      <c r="B24" s="224" t="s">
        <v>410</v>
      </c>
      <c r="C24" s="226" t="s">
        <v>411</v>
      </c>
      <c r="D24" s="226">
        <v>11.9</v>
      </c>
      <c r="E24" s="226">
        <v>1.15</v>
      </c>
      <c r="F24" s="226"/>
      <c r="G24" s="124">
        <f>D24*E24</f>
        <v>13.684999999999999</v>
      </c>
      <c r="H24" s="124"/>
      <c r="I24" s="124"/>
      <c r="J24" s="125" t="s">
        <v>332</v>
      </c>
      <c r="K24" s="227" t="s">
        <v>412</v>
      </c>
    </row>
    <row r="25" spans="1:11" s="71" customFormat="1" ht="64.5">
      <c r="A25" s="217">
        <v>16</v>
      </c>
      <c r="B25" s="218" t="s">
        <v>21</v>
      </c>
      <c r="C25" s="83" t="s">
        <v>491</v>
      </c>
      <c r="D25" s="83">
        <v>5.8</v>
      </c>
      <c r="E25" s="83">
        <v>3.2</v>
      </c>
      <c r="F25" s="83">
        <v>2.56</v>
      </c>
      <c r="G25" s="84">
        <f>D25*E25</f>
        <v>18.56</v>
      </c>
      <c r="H25" s="84"/>
      <c r="I25" s="84"/>
      <c r="J25" s="70" t="s">
        <v>332</v>
      </c>
      <c r="K25" s="232" t="s">
        <v>534</v>
      </c>
    </row>
    <row r="26" spans="1:11" s="126" customFormat="1" ht="76.5">
      <c r="A26" s="127">
        <v>17</v>
      </c>
      <c r="B26" s="224" t="s">
        <v>22</v>
      </c>
      <c r="C26" s="226" t="s">
        <v>492</v>
      </c>
      <c r="D26" s="226">
        <v>5.1</v>
      </c>
      <c r="E26" s="226">
        <v>2</v>
      </c>
      <c r="F26" s="226">
        <v>2.3</v>
      </c>
      <c r="G26" s="124">
        <f>D26*E26</f>
        <v>10.2</v>
      </c>
      <c r="H26" s="124"/>
      <c r="I26" s="124"/>
      <c r="J26" s="125" t="s">
        <v>332</v>
      </c>
      <c r="K26" s="227" t="s">
        <v>421</v>
      </c>
    </row>
    <row r="27" spans="1:11" s="71" customFormat="1" ht="15.75">
      <c r="A27" s="391" t="s">
        <v>32</v>
      </c>
      <c r="B27" s="394"/>
      <c r="C27" s="395"/>
      <c r="D27" s="215"/>
      <c r="E27" s="215"/>
      <c r="F27" s="215"/>
      <c r="G27" s="70"/>
      <c r="H27" s="70"/>
      <c r="I27" s="70"/>
      <c r="J27" s="70"/>
      <c r="K27" s="232"/>
    </row>
    <row r="28" spans="1:11" s="126" customFormat="1" ht="47.25">
      <c r="A28" s="127">
        <v>18</v>
      </c>
      <c r="B28" s="224" t="s">
        <v>33</v>
      </c>
      <c r="C28" s="226" t="s">
        <v>445</v>
      </c>
      <c r="D28" s="226">
        <v>13.3</v>
      </c>
      <c r="E28" s="226">
        <v>2.85</v>
      </c>
      <c r="F28" s="226"/>
      <c r="G28" s="124">
        <f aca="true" t="shared" si="0" ref="G28:G33">D28*E28</f>
        <v>37.905</v>
      </c>
      <c r="H28" s="124"/>
      <c r="I28" s="124"/>
      <c r="J28" s="125" t="s">
        <v>332</v>
      </c>
      <c r="K28" s="227" t="s">
        <v>412</v>
      </c>
    </row>
    <row r="29" spans="1:11" s="71" customFormat="1" ht="31.5">
      <c r="A29" s="127">
        <v>19</v>
      </c>
      <c r="B29" s="229" t="s">
        <v>34</v>
      </c>
      <c r="C29" s="83" t="s">
        <v>849</v>
      </c>
      <c r="D29" s="83">
        <v>12</v>
      </c>
      <c r="E29" s="83">
        <v>3.5</v>
      </c>
      <c r="F29" s="83"/>
      <c r="G29" s="84">
        <f t="shared" si="0"/>
        <v>42</v>
      </c>
      <c r="H29" s="84"/>
      <c r="I29" s="84"/>
      <c r="J29" s="70" t="s">
        <v>332</v>
      </c>
      <c r="K29" s="232" t="s">
        <v>412</v>
      </c>
    </row>
    <row r="30" spans="1:11" s="71" customFormat="1" ht="31.5">
      <c r="A30" s="127">
        <v>20</v>
      </c>
      <c r="B30" s="229" t="s">
        <v>35</v>
      </c>
      <c r="C30" s="83" t="s">
        <v>849</v>
      </c>
      <c r="D30" s="83">
        <v>9.5</v>
      </c>
      <c r="E30" s="83">
        <v>1.5</v>
      </c>
      <c r="F30" s="83"/>
      <c r="G30" s="84">
        <f t="shared" si="0"/>
        <v>14.25</v>
      </c>
      <c r="H30" s="84"/>
      <c r="I30" s="84"/>
      <c r="J30" s="70" t="s">
        <v>332</v>
      </c>
      <c r="K30" s="232" t="s">
        <v>412</v>
      </c>
    </row>
    <row r="31" spans="1:11" s="126" customFormat="1" ht="63">
      <c r="A31" s="127">
        <v>21</v>
      </c>
      <c r="B31" s="224" t="s">
        <v>456</v>
      </c>
      <c r="C31" s="226" t="s">
        <v>657</v>
      </c>
      <c r="D31" s="226">
        <v>9.4</v>
      </c>
      <c r="E31" s="226">
        <v>2.9</v>
      </c>
      <c r="F31" s="226">
        <v>3.6</v>
      </c>
      <c r="G31" s="124">
        <f t="shared" si="0"/>
        <v>27.26</v>
      </c>
      <c r="H31" s="124"/>
      <c r="I31" s="124"/>
      <c r="J31" s="125" t="s">
        <v>334</v>
      </c>
      <c r="K31" s="227" t="s">
        <v>457</v>
      </c>
    </row>
    <row r="32" spans="1:11" s="71" customFormat="1" ht="47.25">
      <c r="A32" s="127">
        <v>22</v>
      </c>
      <c r="B32" s="229" t="s">
        <v>37</v>
      </c>
      <c r="C32" s="83" t="s">
        <v>458</v>
      </c>
      <c r="D32" s="83">
        <v>6</v>
      </c>
      <c r="E32" s="83">
        <v>1.4</v>
      </c>
      <c r="F32" s="83"/>
      <c r="G32" s="84">
        <f t="shared" si="0"/>
        <v>8.399999999999999</v>
      </c>
      <c r="H32" s="84"/>
      <c r="I32" s="84"/>
      <c r="J32" s="70" t="s">
        <v>874</v>
      </c>
      <c r="K32" s="232" t="s">
        <v>459</v>
      </c>
    </row>
    <row r="33" spans="1:11" s="71" customFormat="1" ht="47.25">
      <c r="A33" s="127">
        <v>23</v>
      </c>
      <c r="B33" s="229" t="s">
        <v>38</v>
      </c>
      <c r="C33" s="83" t="s">
        <v>458</v>
      </c>
      <c r="D33" s="83">
        <v>6</v>
      </c>
      <c r="E33" s="83">
        <v>1.4</v>
      </c>
      <c r="F33" s="83"/>
      <c r="G33" s="84">
        <f t="shared" si="0"/>
        <v>8.399999999999999</v>
      </c>
      <c r="H33" s="84"/>
      <c r="I33" s="84"/>
      <c r="J33" s="70" t="s">
        <v>874</v>
      </c>
      <c r="K33" s="232" t="s">
        <v>459</v>
      </c>
    </row>
    <row r="34" spans="1:11" s="71" customFormat="1" ht="15.75">
      <c r="A34" s="391" t="s">
        <v>39</v>
      </c>
      <c r="B34" s="394"/>
      <c r="C34" s="395"/>
      <c r="D34" s="215"/>
      <c r="E34" s="215"/>
      <c r="F34" s="215"/>
      <c r="G34" s="70"/>
      <c r="H34" s="70"/>
      <c r="I34" s="70"/>
      <c r="J34" s="70"/>
      <c r="K34" s="232"/>
    </row>
    <row r="35" spans="1:11" s="71" customFormat="1" ht="31.5">
      <c r="A35" s="228">
        <v>24</v>
      </c>
      <c r="B35" s="229" t="s">
        <v>907</v>
      </c>
      <c r="C35" s="83" t="s">
        <v>848</v>
      </c>
      <c r="D35" s="83">
        <v>9</v>
      </c>
      <c r="E35" s="83">
        <v>1.2</v>
      </c>
      <c r="F35" s="83"/>
      <c r="G35" s="84">
        <f>D35*E35</f>
        <v>10.799999999999999</v>
      </c>
      <c r="H35" s="84"/>
      <c r="I35" s="84"/>
      <c r="J35" s="70" t="s">
        <v>352</v>
      </c>
      <c r="K35" s="232" t="s">
        <v>408</v>
      </c>
    </row>
    <row r="36" spans="1:11" s="71" customFormat="1" ht="39">
      <c r="A36" s="228">
        <v>25</v>
      </c>
      <c r="B36" s="229" t="s">
        <v>908</v>
      </c>
      <c r="C36" s="83" t="s">
        <v>736</v>
      </c>
      <c r="D36" s="83">
        <v>11.8</v>
      </c>
      <c r="E36" s="83">
        <v>1</v>
      </c>
      <c r="F36" s="83"/>
      <c r="G36" s="84">
        <f>D36*E36</f>
        <v>11.8</v>
      </c>
      <c r="H36" s="84"/>
      <c r="I36" s="84"/>
      <c r="J36" s="70" t="s">
        <v>332</v>
      </c>
      <c r="K36" s="232" t="s">
        <v>737</v>
      </c>
    </row>
    <row r="37" spans="1:11" s="71" customFormat="1" ht="51.75">
      <c r="A37" s="228">
        <v>26</v>
      </c>
      <c r="B37" s="229" t="s">
        <v>909</v>
      </c>
      <c r="C37" s="83" t="s">
        <v>735</v>
      </c>
      <c r="D37" s="83">
        <v>4.7</v>
      </c>
      <c r="E37" s="83">
        <v>1.4</v>
      </c>
      <c r="F37" s="83"/>
      <c r="G37" s="84">
        <f>D37*E37</f>
        <v>6.58</v>
      </c>
      <c r="H37" s="84"/>
      <c r="I37" s="84"/>
      <c r="J37" s="70" t="s">
        <v>332</v>
      </c>
      <c r="K37" s="232" t="s">
        <v>738</v>
      </c>
    </row>
    <row r="38" spans="1:11" s="71" customFormat="1" ht="15.75">
      <c r="A38" s="391" t="s">
        <v>46</v>
      </c>
      <c r="B38" s="394"/>
      <c r="C38" s="395"/>
      <c r="D38" s="215"/>
      <c r="E38" s="215"/>
      <c r="F38" s="215"/>
      <c r="G38" s="70"/>
      <c r="H38" s="70"/>
      <c r="I38" s="70"/>
      <c r="J38" s="70"/>
      <c r="K38" s="232"/>
    </row>
    <row r="39" spans="1:11" s="71" customFormat="1" ht="63">
      <c r="A39" s="101">
        <v>27</v>
      </c>
      <c r="B39" s="229" t="s">
        <v>47</v>
      </c>
      <c r="C39" s="83" t="s">
        <v>847</v>
      </c>
      <c r="D39" s="83">
        <v>6</v>
      </c>
      <c r="E39" s="83">
        <v>2.7</v>
      </c>
      <c r="F39" s="83">
        <v>2.5</v>
      </c>
      <c r="G39" s="84">
        <f>D39*E39+0.9*1</f>
        <v>17.1</v>
      </c>
      <c r="H39" s="84"/>
      <c r="I39" s="84"/>
      <c r="J39" s="70" t="s">
        <v>334</v>
      </c>
      <c r="K39" s="232" t="s">
        <v>846</v>
      </c>
    </row>
    <row r="40" spans="1:11" s="126" customFormat="1" ht="47.25">
      <c r="A40" s="228">
        <v>28</v>
      </c>
      <c r="B40" s="224" t="s">
        <v>48</v>
      </c>
      <c r="C40" s="226" t="s">
        <v>560</v>
      </c>
      <c r="D40" s="226">
        <v>5</v>
      </c>
      <c r="E40" s="226">
        <v>1.5</v>
      </c>
      <c r="F40" s="226"/>
      <c r="G40" s="124">
        <f>D40*E40</f>
        <v>7.5</v>
      </c>
      <c r="H40" s="124"/>
      <c r="I40" s="124"/>
      <c r="J40" s="125" t="s">
        <v>332</v>
      </c>
      <c r="K40" s="227" t="s">
        <v>428</v>
      </c>
    </row>
    <row r="41" spans="1:11" s="126" customFormat="1" ht="47.25">
      <c r="A41" s="228">
        <v>29</v>
      </c>
      <c r="B41" s="224" t="s">
        <v>49</v>
      </c>
      <c r="C41" s="226" t="s">
        <v>792</v>
      </c>
      <c r="D41" s="226">
        <v>6.1</v>
      </c>
      <c r="E41" s="226">
        <v>1.5</v>
      </c>
      <c r="F41" s="226"/>
      <c r="G41" s="124">
        <f>D41*E41</f>
        <v>9.149999999999999</v>
      </c>
      <c r="H41" s="124"/>
      <c r="I41" s="124"/>
      <c r="J41" s="125" t="s">
        <v>332</v>
      </c>
      <c r="K41" s="227" t="s">
        <v>427</v>
      </c>
    </row>
    <row r="42" spans="1:11" s="71" customFormat="1" ht="15.75">
      <c r="A42" s="391" t="s">
        <v>50</v>
      </c>
      <c r="B42" s="394"/>
      <c r="C42" s="395"/>
      <c r="D42" s="215"/>
      <c r="E42" s="215"/>
      <c r="F42" s="215"/>
      <c r="G42" s="70"/>
      <c r="H42" s="70"/>
      <c r="I42" s="70"/>
      <c r="J42" s="70"/>
      <c r="K42" s="232"/>
    </row>
    <row r="43" spans="1:11" s="71" customFormat="1" ht="63">
      <c r="A43" s="101">
        <v>30</v>
      </c>
      <c r="B43" s="229" t="s">
        <v>51</v>
      </c>
      <c r="C43" s="83" t="s">
        <v>845</v>
      </c>
      <c r="D43" s="83">
        <v>6.05</v>
      </c>
      <c r="E43" s="83">
        <v>2.5</v>
      </c>
      <c r="F43" s="83">
        <v>2.5</v>
      </c>
      <c r="G43" s="84">
        <f>D43*E43+0.9*1</f>
        <v>16.025</v>
      </c>
      <c r="H43" s="84"/>
      <c r="I43" s="84"/>
      <c r="J43" s="70" t="s">
        <v>334</v>
      </c>
      <c r="K43" s="232" t="s">
        <v>846</v>
      </c>
    </row>
    <row r="44" spans="1:11" s="71" customFormat="1" ht="78.75">
      <c r="A44" s="228">
        <v>31</v>
      </c>
      <c r="B44" s="229" t="s">
        <v>52</v>
      </c>
      <c r="C44" s="83" t="s">
        <v>618</v>
      </c>
      <c r="D44" s="83">
        <v>6.1</v>
      </c>
      <c r="E44" s="83">
        <v>2.4</v>
      </c>
      <c r="F44" s="83">
        <v>2.25</v>
      </c>
      <c r="G44" s="84">
        <f>D44*E44+4.6*1.2</f>
        <v>20.159999999999997</v>
      </c>
      <c r="H44" s="84"/>
      <c r="I44" s="84"/>
      <c r="J44" s="70" t="s">
        <v>334</v>
      </c>
      <c r="K44" s="232" t="s">
        <v>619</v>
      </c>
    </row>
    <row r="45" spans="1:11" s="71" customFormat="1" ht="15.75">
      <c r="A45" s="396">
        <v>32</v>
      </c>
      <c r="B45" s="398" t="s">
        <v>53</v>
      </c>
      <c r="C45" s="83" t="s">
        <v>241</v>
      </c>
      <c r="D45" s="83">
        <v>8.4</v>
      </c>
      <c r="E45" s="83">
        <v>3.47</v>
      </c>
      <c r="F45" s="83"/>
      <c r="G45" s="84">
        <f>D45*E45-1.5*1.5/2</f>
        <v>28.023000000000003</v>
      </c>
      <c r="H45" s="84"/>
      <c r="I45" s="84"/>
      <c r="J45" s="70"/>
      <c r="K45" s="232"/>
    </row>
    <row r="46" spans="1:11" s="71" customFormat="1" ht="78.75">
      <c r="A46" s="397"/>
      <c r="B46" s="399"/>
      <c r="C46" s="83" t="s">
        <v>616</v>
      </c>
      <c r="D46" s="83">
        <v>15.2</v>
      </c>
      <c r="E46" s="83">
        <v>4.3</v>
      </c>
      <c r="F46" s="83">
        <v>2.7</v>
      </c>
      <c r="G46" s="84">
        <f>D46*E46-G45+2*1.2+2*0.6</f>
        <v>40.937</v>
      </c>
      <c r="H46" s="84"/>
      <c r="I46" s="84"/>
      <c r="J46" s="70" t="s">
        <v>334</v>
      </c>
      <c r="K46" s="232" t="s">
        <v>617</v>
      </c>
    </row>
    <row r="47" spans="1:11" s="71" customFormat="1" ht="15.75">
      <c r="A47" s="396">
        <v>33</v>
      </c>
      <c r="B47" s="398" t="s">
        <v>54</v>
      </c>
      <c r="C47" s="83" t="s">
        <v>241</v>
      </c>
      <c r="D47" s="83">
        <v>5.6</v>
      </c>
      <c r="E47" s="83">
        <v>3</v>
      </c>
      <c r="F47" s="83"/>
      <c r="G47" s="70">
        <f>D47*E47</f>
        <v>16.799999999999997</v>
      </c>
      <c r="H47" s="70"/>
      <c r="I47" s="70"/>
      <c r="J47" s="70"/>
      <c r="K47" s="232"/>
    </row>
    <row r="48" spans="1:11" s="71" customFormat="1" ht="64.5">
      <c r="A48" s="397"/>
      <c r="B48" s="399"/>
      <c r="C48" s="83" t="s">
        <v>614</v>
      </c>
      <c r="D48" s="83">
        <v>11.6</v>
      </c>
      <c r="E48" s="83">
        <v>3</v>
      </c>
      <c r="F48" s="83">
        <v>2.8</v>
      </c>
      <c r="G48" s="84">
        <f>D48*E48-G47</f>
        <v>18</v>
      </c>
      <c r="H48" s="84"/>
      <c r="I48" s="84"/>
      <c r="J48" s="70" t="s">
        <v>332</v>
      </c>
      <c r="K48" s="232" t="s">
        <v>615</v>
      </c>
    </row>
    <row r="49" spans="1:11" s="71" customFormat="1" ht="51">
      <c r="A49" s="228">
        <v>34</v>
      </c>
      <c r="B49" s="229" t="s">
        <v>55</v>
      </c>
      <c r="C49" s="226" t="s">
        <v>793</v>
      </c>
      <c r="D49" s="226">
        <v>6.5</v>
      </c>
      <c r="E49" s="226">
        <v>3</v>
      </c>
      <c r="F49" s="226"/>
      <c r="G49" s="124">
        <f>D49*E49</f>
        <v>19.5</v>
      </c>
      <c r="H49" s="124"/>
      <c r="I49" s="124"/>
      <c r="J49" s="125" t="s">
        <v>332</v>
      </c>
      <c r="K49" s="227" t="s">
        <v>613</v>
      </c>
    </row>
    <row r="50" spans="1:11" s="71" customFormat="1" ht="51">
      <c r="A50" s="228">
        <v>35</v>
      </c>
      <c r="B50" s="229" t="s">
        <v>56</v>
      </c>
      <c r="C50" s="226" t="s">
        <v>794</v>
      </c>
      <c r="D50" s="226">
        <v>4</v>
      </c>
      <c r="E50" s="226">
        <v>3</v>
      </c>
      <c r="F50" s="226"/>
      <c r="G50" s="124">
        <f>D50*E50</f>
        <v>12</v>
      </c>
      <c r="H50" s="124"/>
      <c r="I50" s="124"/>
      <c r="J50" s="125" t="s">
        <v>332</v>
      </c>
      <c r="K50" s="227" t="s">
        <v>613</v>
      </c>
    </row>
    <row r="51" spans="1:11" s="71" customFormat="1" ht="63.75">
      <c r="A51" s="228">
        <v>36</v>
      </c>
      <c r="B51" s="229" t="s">
        <v>57</v>
      </c>
      <c r="C51" s="226" t="s">
        <v>664</v>
      </c>
      <c r="D51" s="226">
        <v>9.1</v>
      </c>
      <c r="E51" s="226">
        <v>1.9</v>
      </c>
      <c r="F51" s="226"/>
      <c r="G51" s="124">
        <f>D51*E51</f>
        <v>17.29</v>
      </c>
      <c r="H51" s="124"/>
      <c r="I51" s="124"/>
      <c r="J51" s="125" t="s">
        <v>332</v>
      </c>
      <c r="K51" s="227" t="s">
        <v>612</v>
      </c>
    </row>
    <row r="52" spans="1:11" s="71" customFormat="1" ht="63.75">
      <c r="A52" s="228">
        <v>37</v>
      </c>
      <c r="B52" s="229" t="s">
        <v>58</v>
      </c>
      <c r="C52" s="226" t="s">
        <v>623</v>
      </c>
      <c r="D52" s="226">
        <v>11.4</v>
      </c>
      <c r="E52" s="226">
        <v>1.2</v>
      </c>
      <c r="F52" s="226"/>
      <c r="G52" s="124">
        <f>D52*E52+3.6*1.8+1.2*2.8</f>
        <v>23.52</v>
      </c>
      <c r="H52" s="124"/>
      <c r="I52" s="124"/>
      <c r="J52" s="125" t="s">
        <v>332</v>
      </c>
      <c r="K52" s="227" t="s">
        <v>611</v>
      </c>
    </row>
    <row r="53" spans="1:11" s="71" customFormat="1" ht="15.75">
      <c r="A53" s="391" t="s">
        <v>877</v>
      </c>
      <c r="B53" s="394"/>
      <c r="C53" s="395"/>
      <c r="D53" s="215"/>
      <c r="E53" s="215"/>
      <c r="F53" s="215"/>
      <c r="G53" s="70"/>
      <c r="H53" s="70"/>
      <c r="I53" s="70"/>
      <c r="J53" s="70"/>
      <c r="K53" s="232"/>
    </row>
    <row r="54" spans="1:11" s="71" customFormat="1" ht="76.5">
      <c r="A54" s="228">
        <v>38</v>
      </c>
      <c r="B54" s="229" t="s">
        <v>890</v>
      </c>
      <c r="C54" s="226" t="s">
        <v>878</v>
      </c>
      <c r="D54" s="226">
        <v>6</v>
      </c>
      <c r="E54" s="226">
        <v>3.6</v>
      </c>
      <c r="F54" s="226"/>
      <c r="G54" s="124">
        <f>D54*E54</f>
        <v>21.6</v>
      </c>
      <c r="H54" s="124"/>
      <c r="I54" s="124"/>
      <c r="J54" s="125" t="s">
        <v>332</v>
      </c>
      <c r="K54" s="227" t="s">
        <v>879</v>
      </c>
    </row>
    <row r="55" spans="1:11" s="86" customFormat="1" ht="15.75">
      <c r="A55" s="82"/>
      <c r="B55" s="403" t="s">
        <v>727</v>
      </c>
      <c r="C55" s="404"/>
      <c r="D55" s="83"/>
      <c r="E55" s="83"/>
      <c r="F55" s="83"/>
      <c r="G55" s="84"/>
      <c r="H55" s="84"/>
      <c r="I55" s="84"/>
      <c r="J55" s="70"/>
      <c r="K55" s="227"/>
    </row>
    <row r="56" spans="1:11" s="71" customFormat="1" ht="15.75">
      <c r="A56" s="228">
        <v>39</v>
      </c>
      <c r="B56" s="229" t="s">
        <v>720</v>
      </c>
      <c r="C56" s="83" t="s">
        <v>721</v>
      </c>
      <c r="D56" s="83"/>
      <c r="E56" s="83"/>
      <c r="F56" s="83"/>
      <c r="G56" s="70"/>
      <c r="H56" s="70"/>
      <c r="I56" s="70"/>
      <c r="J56" s="70"/>
      <c r="K56" s="232"/>
    </row>
    <row r="57" spans="1:11" s="71" customFormat="1" ht="15.75">
      <c r="A57" s="391" t="s">
        <v>61</v>
      </c>
      <c r="B57" s="394"/>
      <c r="C57" s="395"/>
      <c r="D57" s="215"/>
      <c r="E57" s="215"/>
      <c r="F57" s="215"/>
      <c r="G57" s="70"/>
      <c r="H57" s="70"/>
      <c r="I57" s="70"/>
      <c r="J57" s="70"/>
      <c r="K57" s="232"/>
    </row>
    <row r="58" spans="1:11" s="71" customFormat="1" ht="63">
      <c r="A58" s="228">
        <v>40</v>
      </c>
      <c r="B58" s="229" t="s">
        <v>62</v>
      </c>
      <c r="C58" s="83" t="s">
        <v>667</v>
      </c>
      <c r="D58" s="83">
        <v>6.7</v>
      </c>
      <c r="E58" s="83">
        <v>2.8</v>
      </c>
      <c r="F58" s="83">
        <v>2.35</v>
      </c>
      <c r="G58" s="84">
        <f>D58*E58</f>
        <v>18.759999999999998</v>
      </c>
      <c r="H58" s="84"/>
      <c r="I58" s="84"/>
      <c r="J58" s="70" t="s">
        <v>352</v>
      </c>
      <c r="K58" s="232" t="s">
        <v>668</v>
      </c>
    </row>
    <row r="59" spans="1:11" s="71" customFormat="1" ht="15.75">
      <c r="A59" s="228">
        <v>41</v>
      </c>
      <c r="B59" s="229" t="s">
        <v>63</v>
      </c>
      <c r="C59" s="83" t="s">
        <v>389</v>
      </c>
      <c r="D59" s="83"/>
      <c r="E59" s="83"/>
      <c r="F59" s="83"/>
      <c r="G59" s="70"/>
      <c r="H59" s="70"/>
      <c r="I59" s="70"/>
      <c r="J59" s="70"/>
      <c r="K59" s="232"/>
    </row>
    <row r="60" spans="1:11" s="71" customFormat="1" ht="47.25">
      <c r="A60" s="228">
        <v>42</v>
      </c>
      <c r="B60" s="229" t="s">
        <v>64</v>
      </c>
      <c r="C60" s="226" t="s">
        <v>665</v>
      </c>
      <c r="D60" s="226">
        <v>10.5</v>
      </c>
      <c r="E60" s="226">
        <v>4</v>
      </c>
      <c r="F60" s="226">
        <v>2.7</v>
      </c>
      <c r="G60" s="124">
        <f>D60*E60</f>
        <v>42</v>
      </c>
      <c r="H60" s="124"/>
      <c r="I60" s="124"/>
      <c r="J60" s="125" t="s">
        <v>332</v>
      </c>
      <c r="K60" s="227" t="s">
        <v>666</v>
      </c>
    </row>
    <row r="61" spans="1:11" s="71" customFormat="1" ht="15.75">
      <c r="A61" s="391" t="s">
        <v>65</v>
      </c>
      <c r="B61" s="394"/>
      <c r="C61" s="395"/>
      <c r="D61" s="215"/>
      <c r="E61" s="215"/>
      <c r="F61" s="215"/>
      <c r="G61" s="70"/>
      <c r="H61" s="70"/>
      <c r="I61" s="70"/>
      <c r="J61" s="70"/>
      <c r="K61" s="232"/>
    </row>
    <row r="62" spans="1:11" s="71" customFormat="1" ht="51.75">
      <c r="A62" s="228">
        <v>43</v>
      </c>
      <c r="B62" s="229" t="s">
        <v>229</v>
      </c>
      <c r="C62" s="83" t="s">
        <v>674</v>
      </c>
      <c r="D62" s="83">
        <v>12</v>
      </c>
      <c r="E62" s="83">
        <v>1.5</v>
      </c>
      <c r="F62" s="83"/>
      <c r="G62" s="84">
        <f>D62*E62</f>
        <v>18</v>
      </c>
      <c r="H62" s="84"/>
      <c r="I62" s="84"/>
      <c r="J62" s="70" t="s">
        <v>332</v>
      </c>
      <c r="K62" s="232" t="s">
        <v>675</v>
      </c>
    </row>
    <row r="63" spans="1:11" s="71" customFormat="1" ht="63">
      <c r="A63" s="228">
        <v>44</v>
      </c>
      <c r="B63" s="229" t="s">
        <v>676</v>
      </c>
      <c r="C63" s="83" t="s">
        <v>677</v>
      </c>
      <c r="D63" s="83">
        <v>5.75</v>
      </c>
      <c r="E63" s="83">
        <v>2.4</v>
      </c>
      <c r="F63" s="83">
        <v>2.4</v>
      </c>
      <c r="G63" s="84">
        <f>D63*E63</f>
        <v>13.799999999999999</v>
      </c>
      <c r="H63" s="84"/>
      <c r="I63" s="84"/>
      <c r="J63" s="70" t="s">
        <v>332</v>
      </c>
      <c r="K63" s="232" t="s">
        <v>678</v>
      </c>
    </row>
    <row r="64" spans="1:11" s="71" customFormat="1" ht="63">
      <c r="A64" s="228">
        <v>45</v>
      </c>
      <c r="B64" s="229" t="s">
        <v>67</v>
      </c>
      <c r="C64" s="83" t="s">
        <v>672</v>
      </c>
      <c r="D64" s="83">
        <v>6.62</v>
      </c>
      <c r="E64" s="83">
        <v>2</v>
      </c>
      <c r="F64" s="83">
        <v>2.5</v>
      </c>
      <c r="G64" s="84">
        <f>D64*E64+6*2</f>
        <v>25.240000000000002</v>
      </c>
      <c r="H64" s="84"/>
      <c r="I64" s="84"/>
      <c r="J64" s="70" t="s">
        <v>332</v>
      </c>
      <c r="K64" s="232" t="s">
        <v>673</v>
      </c>
    </row>
    <row r="65" spans="1:11" s="71" customFormat="1" ht="15.75">
      <c r="A65" s="391" t="s">
        <v>322</v>
      </c>
      <c r="B65" s="394"/>
      <c r="C65" s="395"/>
      <c r="D65" s="215"/>
      <c r="E65" s="215"/>
      <c r="F65" s="215"/>
      <c r="G65" s="70"/>
      <c r="H65" s="70"/>
      <c r="I65" s="70"/>
      <c r="J65" s="70"/>
      <c r="K65" s="232"/>
    </row>
    <row r="66" spans="1:11" s="71" customFormat="1" ht="77.25">
      <c r="A66" s="217">
        <v>46</v>
      </c>
      <c r="B66" s="218" t="s">
        <v>897</v>
      </c>
      <c r="C66" s="83" t="s">
        <v>493</v>
      </c>
      <c r="D66" s="83">
        <v>5.8</v>
      </c>
      <c r="E66" s="83">
        <v>1.3</v>
      </c>
      <c r="F66" s="83">
        <v>2.48</v>
      </c>
      <c r="G66" s="84">
        <f>D66*E66+3.9*1.65</f>
        <v>13.975</v>
      </c>
      <c r="H66" s="84"/>
      <c r="I66" s="84"/>
      <c r="J66" s="70" t="s">
        <v>332</v>
      </c>
      <c r="K66" s="232" t="s">
        <v>535</v>
      </c>
    </row>
    <row r="67" spans="1:11" s="71" customFormat="1" ht="47.25">
      <c r="A67" s="216">
        <v>47</v>
      </c>
      <c r="B67" s="218" t="s">
        <v>898</v>
      </c>
      <c r="C67" s="83" t="s">
        <v>536</v>
      </c>
      <c r="D67" s="83">
        <v>12.2</v>
      </c>
      <c r="E67" s="83">
        <v>2.9</v>
      </c>
      <c r="F67" s="83">
        <v>2.54</v>
      </c>
      <c r="G67" s="84">
        <f>D67*E67</f>
        <v>35.379999999999995</v>
      </c>
      <c r="H67" s="84"/>
      <c r="I67" s="84"/>
      <c r="J67" s="70" t="s">
        <v>332</v>
      </c>
      <c r="K67" s="232" t="s">
        <v>382</v>
      </c>
    </row>
    <row r="68" spans="1:11" s="126" customFormat="1" ht="47.25">
      <c r="A68" s="127">
        <v>48</v>
      </c>
      <c r="B68" s="224" t="s">
        <v>899</v>
      </c>
      <c r="C68" s="226" t="s">
        <v>494</v>
      </c>
      <c r="D68" s="226">
        <v>10.9</v>
      </c>
      <c r="E68" s="226">
        <v>3.6</v>
      </c>
      <c r="F68" s="226">
        <v>2.55</v>
      </c>
      <c r="G68" s="124">
        <f>D68*E68</f>
        <v>39.24</v>
      </c>
      <c r="H68" s="124"/>
      <c r="I68" s="124"/>
      <c r="J68" s="125" t="s">
        <v>332</v>
      </c>
      <c r="K68" s="227" t="s">
        <v>384</v>
      </c>
    </row>
    <row r="69" spans="1:11" s="71" customFormat="1" ht="15.75">
      <c r="A69" s="391" t="s">
        <v>69</v>
      </c>
      <c r="B69" s="394"/>
      <c r="C69" s="395"/>
      <c r="D69" s="215"/>
      <c r="E69" s="215"/>
      <c r="F69" s="215"/>
      <c r="G69" s="70"/>
      <c r="H69" s="70"/>
      <c r="I69" s="70"/>
      <c r="J69" s="70"/>
      <c r="K69" s="232"/>
    </row>
    <row r="70" spans="1:11" s="131" customFormat="1" ht="67.5" customHeight="1">
      <c r="A70" s="236">
        <v>49</v>
      </c>
      <c r="B70" s="129" t="s">
        <v>403</v>
      </c>
      <c r="C70" s="224" t="s">
        <v>495</v>
      </c>
      <c r="D70" s="224">
        <v>15.9</v>
      </c>
      <c r="E70" s="224">
        <v>2.86</v>
      </c>
      <c r="F70" s="224">
        <v>2.38</v>
      </c>
      <c r="G70" s="130">
        <f>D70*E70</f>
        <v>45.474</v>
      </c>
      <c r="H70" s="130"/>
      <c r="I70" s="130"/>
      <c r="J70" s="128" t="s">
        <v>334</v>
      </c>
      <c r="K70" s="225" t="s">
        <v>402</v>
      </c>
    </row>
    <row r="71" spans="1:11" s="71" customFormat="1" ht="15.75">
      <c r="A71" s="396">
        <v>50</v>
      </c>
      <c r="B71" s="398" t="s">
        <v>71</v>
      </c>
      <c r="C71" s="83" t="s">
        <v>241</v>
      </c>
      <c r="D71" s="83">
        <v>3.01</v>
      </c>
      <c r="E71" s="83">
        <v>2.3</v>
      </c>
      <c r="F71" s="83"/>
      <c r="G71" s="84">
        <f>D71*E71</f>
        <v>6.922999999999999</v>
      </c>
      <c r="H71" s="84"/>
      <c r="I71" s="84"/>
      <c r="J71" s="70" t="s">
        <v>332</v>
      </c>
      <c r="K71" s="232"/>
    </row>
    <row r="72" spans="1:11" s="71" customFormat="1" ht="63">
      <c r="A72" s="397"/>
      <c r="B72" s="399"/>
      <c r="C72" s="83" t="s">
        <v>660</v>
      </c>
      <c r="D72" s="83">
        <v>9.66</v>
      </c>
      <c r="E72" s="83">
        <v>3.5</v>
      </c>
      <c r="F72" s="83">
        <v>2.56</v>
      </c>
      <c r="G72" s="84">
        <f>D72*E72-G71</f>
        <v>26.887000000000004</v>
      </c>
      <c r="H72" s="84"/>
      <c r="I72" s="84"/>
      <c r="J72" s="70" t="s">
        <v>332</v>
      </c>
      <c r="K72" s="232" t="s">
        <v>537</v>
      </c>
    </row>
    <row r="73" spans="1:11" s="71" customFormat="1" ht="79.5" customHeight="1">
      <c r="A73" s="219">
        <v>51</v>
      </c>
      <c r="B73" s="218" t="s">
        <v>72</v>
      </c>
      <c r="C73" s="83" t="s">
        <v>795</v>
      </c>
      <c r="D73" s="83">
        <v>12.8</v>
      </c>
      <c r="E73" s="83">
        <v>2.65</v>
      </c>
      <c r="F73" s="83">
        <v>2.8</v>
      </c>
      <c r="G73" s="84">
        <f>D73*E73</f>
        <v>33.92</v>
      </c>
      <c r="H73" s="84"/>
      <c r="I73" s="84"/>
      <c r="J73" s="70" t="s">
        <v>332</v>
      </c>
      <c r="K73" s="232" t="s">
        <v>796</v>
      </c>
    </row>
    <row r="74" spans="1:11" s="71" customFormat="1" ht="15.75">
      <c r="A74" s="391" t="s">
        <v>764</v>
      </c>
      <c r="B74" s="394"/>
      <c r="C74" s="395"/>
      <c r="D74" s="215"/>
      <c r="E74" s="215"/>
      <c r="F74" s="215"/>
      <c r="G74" s="70"/>
      <c r="H74" s="70"/>
      <c r="I74" s="70"/>
      <c r="J74" s="70"/>
      <c r="K74" s="232"/>
    </row>
    <row r="75" spans="1:11" s="71" customFormat="1" ht="63">
      <c r="A75" s="228">
        <v>52</v>
      </c>
      <c r="B75" s="229" t="s">
        <v>771</v>
      </c>
      <c r="C75" s="83" t="s">
        <v>772</v>
      </c>
      <c r="D75" s="83">
        <v>5</v>
      </c>
      <c r="E75" s="83">
        <v>2.4</v>
      </c>
      <c r="F75" s="83">
        <v>3.05</v>
      </c>
      <c r="G75" s="84">
        <f>D75*E75</f>
        <v>12</v>
      </c>
      <c r="H75" s="84"/>
      <c r="I75" s="84"/>
      <c r="J75" s="70" t="s">
        <v>334</v>
      </c>
      <c r="K75" s="232" t="s">
        <v>773</v>
      </c>
    </row>
    <row r="76" spans="1:11" s="71" customFormat="1" ht="47.25">
      <c r="A76" s="228">
        <v>53</v>
      </c>
      <c r="B76" s="229" t="s">
        <v>765</v>
      </c>
      <c r="C76" s="83" t="s">
        <v>766</v>
      </c>
      <c r="D76" s="83">
        <v>9.7</v>
      </c>
      <c r="E76" s="83">
        <v>3.1</v>
      </c>
      <c r="F76" s="83">
        <v>3.35</v>
      </c>
      <c r="G76" s="84">
        <f>D76*E76</f>
        <v>30.07</v>
      </c>
      <c r="H76" s="84"/>
      <c r="I76" s="84"/>
      <c r="J76" s="70" t="s">
        <v>332</v>
      </c>
      <c r="K76" s="232" t="s">
        <v>767</v>
      </c>
    </row>
    <row r="77" spans="1:11" s="71" customFormat="1" ht="63">
      <c r="A77" s="228">
        <v>54</v>
      </c>
      <c r="B77" s="229" t="s">
        <v>770</v>
      </c>
      <c r="C77" s="83" t="s">
        <v>768</v>
      </c>
      <c r="D77" s="83">
        <v>12.6</v>
      </c>
      <c r="E77" s="83">
        <v>2.2</v>
      </c>
      <c r="F77" s="83">
        <v>2.5</v>
      </c>
      <c r="G77" s="84">
        <f>D77*E77-1.7*6.5/2</f>
        <v>22.195000000000004</v>
      </c>
      <c r="H77" s="84"/>
      <c r="I77" s="84"/>
      <c r="J77" s="70" t="s">
        <v>332</v>
      </c>
      <c r="K77" s="232" t="s">
        <v>769</v>
      </c>
    </row>
    <row r="78" spans="1:11" s="71" customFormat="1" ht="15.75">
      <c r="A78" s="391" t="s">
        <v>76</v>
      </c>
      <c r="B78" s="394"/>
      <c r="C78" s="395"/>
      <c r="D78" s="215"/>
      <c r="E78" s="215"/>
      <c r="F78" s="215"/>
      <c r="G78" s="70"/>
      <c r="H78" s="70"/>
      <c r="I78" s="70"/>
      <c r="J78" s="70"/>
      <c r="K78" s="232"/>
    </row>
    <row r="79" spans="1:11" s="71" customFormat="1" ht="15.75">
      <c r="A79" s="396">
        <v>55</v>
      </c>
      <c r="B79" s="398" t="s">
        <v>242</v>
      </c>
      <c r="C79" s="83" t="s">
        <v>341</v>
      </c>
      <c r="D79" s="83">
        <v>5.1</v>
      </c>
      <c r="E79" s="83">
        <v>3.1</v>
      </c>
      <c r="F79" s="83"/>
      <c r="G79" s="84">
        <f>D79*E79</f>
        <v>15.809999999999999</v>
      </c>
      <c r="H79" s="84"/>
      <c r="I79" s="84"/>
      <c r="J79" s="70" t="s">
        <v>334</v>
      </c>
      <c r="K79" s="232"/>
    </row>
    <row r="80" spans="1:11" s="71" customFormat="1" ht="78.75">
      <c r="A80" s="397"/>
      <c r="B80" s="399"/>
      <c r="C80" s="83" t="s">
        <v>496</v>
      </c>
      <c r="D80" s="83">
        <v>11.3</v>
      </c>
      <c r="E80" s="83">
        <v>5.9</v>
      </c>
      <c r="F80" s="83">
        <v>2.6</v>
      </c>
      <c r="G80" s="84">
        <f>D80*E80-G79</f>
        <v>50.86</v>
      </c>
      <c r="H80" s="84"/>
      <c r="I80" s="84"/>
      <c r="J80" s="70" t="s">
        <v>334</v>
      </c>
      <c r="K80" s="232" t="s">
        <v>343</v>
      </c>
    </row>
    <row r="81" spans="1:11" s="71" customFormat="1" ht="15.75">
      <c r="A81" s="396">
        <v>56</v>
      </c>
      <c r="B81" s="398" t="s">
        <v>337</v>
      </c>
      <c r="C81" s="83" t="s">
        <v>341</v>
      </c>
      <c r="D81" s="83">
        <v>5.57</v>
      </c>
      <c r="E81" s="83">
        <v>3.78</v>
      </c>
      <c r="F81" s="83"/>
      <c r="G81" s="84">
        <f>D81*E81</f>
        <v>21.0546</v>
      </c>
      <c r="H81" s="84"/>
      <c r="I81" s="84"/>
      <c r="J81" s="70" t="s">
        <v>334</v>
      </c>
      <c r="K81" s="232"/>
    </row>
    <row r="82" spans="1:11" s="71" customFormat="1" ht="78.75">
      <c r="A82" s="397"/>
      <c r="B82" s="399"/>
      <c r="C82" s="83" t="s">
        <v>661</v>
      </c>
      <c r="D82" s="83">
        <v>17.8</v>
      </c>
      <c r="E82" s="83">
        <v>3.6</v>
      </c>
      <c r="F82" s="83">
        <v>3.7</v>
      </c>
      <c r="G82" s="84">
        <f>D82*E82-G81+9.7*1.33</f>
        <v>55.9264</v>
      </c>
      <c r="H82" s="84"/>
      <c r="I82" s="84"/>
      <c r="J82" s="70" t="s">
        <v>332</v>
      </c>
      <c r="K82" s="232" t="s">
        <v>497</v>
      </c>
    </row>
    <row r="83" spans="1:11" s="71" customFormat="1" ht="15.75">
      <c r="A83" s="396">
        <v>57</v>
      </c>
      <c r="B83" s="398" t="s">
        <v>338</v>
      </c>
      <c r="C83" s="83" t="s">
        <v>241</v>
      </c>
      <c r="D83" s="83">
        <v>3.2</v>
      </c>
      <c r="E83" s="83">
        <v>3.2</v>
      </c>
      <c r="F83" s="83"/>
      <c r="G83" s="84">
        <f>D83*E83-(0.85*0.85)/2</f>
        <v>9.878750000000002</v>
      </c>
      <c r="H83" s="84"/>
      <c r="I83" s="84"/>
      <c r="J83" s="70" t="s">
        <v>332</v>
      </c>
      <c r="K83" s="232"/>
    </row>
    <row r="84" spans="1:11" s="71" customFormat="1" ht="63">
      <c r="A84" s="397"/>
      <c r="B84" s="399"/>
      <c r="C84" s="83" t="s">
        <v>498</v>
      </c>
      <c r="D84" s="83">
        <v>18.4</v>
      </c>
      <c r="E84" s="83">
        <v>3.24</v>
      </c>
      <c r="F84" s="83">
        <v>2.55</v>
      </c>
      <c r="G84" s="84">
        <f>D84*E84-G83</f>
        <v>49.737249999999996</v>
      </c>
      <c r="H84" s="84"/>
      <c r="I84" s="84"/>
      <c r="J84" s="70" t="s">
        <v>332</v>
      </c>
      <c r="K84" s="232" t="s">
        <v>499</v>
      </c>
    </row>
    <row r="85" spans="1:11" s="71" customFormat="1" ht="15.75">
      <c r="A85" s="396">
        <v>58</v>
      </c>
      <c r="B85" s="398" t="s">
        <v>245</v>
      </c>
      <c r="C85" s="83" t="s">
        <v>241</v>
      </c>
      <c r="D85" s="83">
        <v>6.4</v>
      </c>
      <c r="E85" s="83">
        <v>4.35</v>
      </c>
      <c r="F85" s="83"/>
      <c r="G85" s="84">
        <f>D85*E85-(1.15*1.1)/2*2</f>
        <v>26.575</v>
      </c>
      <c r="H85" s="84"/>
      <c r="I85" s="84"/>
      <c r="J85" s="70" t="s">
        <v>334</v>
      </c>
      <c r="K85" s="232"/>
    </row>
    <row r="86" spans="1:11" s="71" customFormat="1" ht="63">
      <c r="A86" s="397"/>
      <c r="B86" s="399"/>
      <c r="C86" s="83" t="s">
        <v>500</v>
      </c>
      <c r="D86" s="83">
        <v>18.4</v>
      </c>
      <c r="E86" s="83">
        <v>3.24</v>
      </c>
      <c r="F86" s="83">
        <v>2.55</v>
      </c>
      <c r="G86" s="84">
        <f>D86*E86-G85</f>
        <v>33.041</v>
      </c>
      <c r="H86" s="84"/>
      <c r="I86" s="84"/>
      <c r="J86" s="70" t="s">
        <v>332</v>
      </c>
      <c r="K86" s="232" t="s">
        <v>501</v>
      </c>
    </row>
    <row r="87" spans="1:11" s="71" customFormat="1" ht="78.75">
      <c r="A87" s="231">
        <v>59</v>
      </c>
      <c r="B87" s="166" t="s">
        <v>344</v>
      </c>
      <c r="C87" s="83" t="s">
        <v>620</v>
      </c>
      <c r="D87" s="83">
        <v>6.4</v>
      </c>
      <c r="E87" s="83">
        <v>1.6</v>
      </c>
      <c r="F87" s="83">
        <v>2.55</v>
      </c>
      <c r="G87" s="84">
        <f>D87*E87+0.85*0.85/2</f>
        <v>10.601250000000002</v>
      </c>
      <c r="H87" s="84"/>
      <c r="I87" s="84"/>
      <c r="J87" s="70" t="s">
        <v>334</v>
      </c>
      <c r="K87" s="232" t="s">
        <v>345</v>
      </c>
    </row>
    <row r="88" spans="1:11" s="71" customFormat="1" ht="15.75">
      <c r="A88" s="391" t="s">
        <v>78</v>
      </c>
      <c r="B88" s="394"/>
      <c r="C88" s="395"/>
      <c r="D88" s="215"/>
      <c r="E88" s="215"/>
      <c r="F88" s="215"/>
      <c r="G88" s="70"/>
      <c r="H88" s="70"/>
      <c r="I88" s="70"/>
      <c r="J88" s="70"/>
      <c r="K88" s="70"/>
    </row>
    <row r="89" spans="1:11" s="71" customFormat="1" ht="63">
      <c r="A89" s="228">
        <v>60</v>
      </c>
      <c r="B89" s="229" t="s">
        <v>79</v>
      </c>
      <c r="C89" s="226" t="s">
        <v>624</v>
      </c>
      <c r="D89" s="226">
        <v>8.8</v>
      </c>
      <c r="E89" s="226">
        <v>2.8</v>
      </c>
      <c r="F89" s="226"/>
      <c r="G89" s="124">
        <f>D89*E89+3.3*1.2</f>
        <v>28.6</v>
      </c>
      <c r="H89" s="124"/>
      <c r="I89" s="124"/>
      <c r="J89" s="125" t="s">
        <v>332</v>
      </c>
      <c r="K89" s="227" t="s">
        <v>428</v>
      </c>
    </row>
    <row r="90" spans="1:11" s="71" customFormat="1" ht="63">
      <c r="A90" s="228">
        <v>61</v>
      </c>
      <c r="B90" s="229" t="s">
        <v>80</v>
      </c>
      <c r="C90" s="83" t="s">
        <v>621</v>
      </c>
      <c r="D90" s="83">
        <v>17.4</v>
      </c>
      <c r="E90" s="83">
        <v>3.1</v>
      </c>
      <c r="F90" s="83">
        <v>2.8</v>
      </c>
      <c r="G90" s="84">
        <f>D90*E90</f>
        <v>53.94</v>
      </c>
      <c r="H90" s="84"/>
      <c r="I90" s="84"/>
      <c r="J90" s="70" t="s">
        <v>334</v>
      </c>
      <c r="K90" s="232" t="s">
        <v>622</v>
      </c>
    </row>
    <row r="91" spans="1:11" s="71" customFormat="1" ht="63.75">
      <c r="A91" s="228">
        <v>62</v>
      </c>
      <c r="B91" s="229" t="s">
        <v>81</v>
      </c>
      <c r="C91" s="226" t="s">
        <v>625</v>
      </c>
      <c r="D91" s="226">
        <v>15.9</v>
      </c>
      <c r="E91" s="226">
        <v>2.3</v>
      </c>
      <c r="F91" s="226"/>
      <c r="G91" s="124">
        <f>D91*E91+2*0.6</f>
        <v>37.77</v>
      </c>
      <c r="H91" s="124"/>
      <c r="I91" s="124"/>
      <c r="J91" s="125" t="s">
        <v>332</v>
      </c>
      <c r="K91" s="227" t="s">
        <v>612</v>
      </c>
    </row>
    <row r="92" spans="1:11" s="71" customFormat="1" ht="78.75">
      <c r="A92" s="228">
        <v>63</v>
      </c>
      <c r="B92" s="229" t="s">
        <v>54</v>
      </c>
      <c r="C92" s="83" t="s">
        <v>635</v>
      </c>
      <c r="D92" s="83">
        <v>15.4</v>
      </c>
      <c r="E92" s="83">
        <v>3.1</v>
      </c>
      <c r="F92" s="83">
        <v>2.8</v>
      </c>
      <c r="G92" s="84">
        <f>D92*E92</f>
        <v>47.74</v>
      </c>
      <c r="H92" s="84"/>
      <c r="I92" s="84"/>
      <c r="J92" s="70" t="s">
        <v>334</v>
      </c>
      <c r="K92" s="232" t="s">
        <v>636</v>
      </c>
    </row>
    <row r="93" spans="1:11" s="126" customFormat="1" ht="78.75">
      <c r="A93" s="105">
        <v>64</v>
      </c>
      <c r="B93" s="224" t="s">
        <v>797</v>
      </c>
      <c r="C93" s="226" t="s">
        <v>799</v>
      </c>
      <c r="D93" s="226">
        <v>10.9</v>
      </c>
      <c r="E93" s="226">
        <v>2.7</v>
      </c>
      <c r="F93" s="226">
        <v>2.8</v>
      </c>
      <c r="G93" s="124">
        <f>D93*E93+5.5*0.9+3.75*1.2</f>
        <v>38.88</v>
      </c>
      <c r="H93" s="124"/>
      <c r="I93" s="124"/>
      <c r="J93" s="125" t="s">
        <v>334</v>
      </c>
      <c r="K93" s="227" t="s">
        <v>402</v>
      </c>
    </row>
    <row r="94" spans="1:11" s="71" customFormat="1" ht="15.75">
      <c r="A94" s="396">
        <v>65</v>
      </c>
      <c r="B94" s="398" t="s">
        <v>82</v>
      </c>
      <c r="C94" s="83" t="s">
        <v>631</v>
      </c>
      <c r="D94" s="83">
        <v>4</v>
      </c>
      <c r="E94" s="83">
        <v>1.9</v>
      </c>
      <c r="F94" s="83"/>
      <c r="G94" s="70">
        <f>D94*E94*2</f>
        <v>15.2</v>
      </c>
      <c r="H94" s="70"/>
      <c r="I94" s="70"/>
      <c r="J94" s="70"/>
      <c r="K94" s="70"/>
    </row>
    <row r="95" spans="1:11" s="71" customFormat="1" ht="78.75">
      <c r="A95" s="397"/>
      <c r="B95" s="399"/>
      <c r="C95" s="83" t="s">
        <v>632</v>
      </c>
      <c r="D95" s="83">
        <v>20.5</v>
      </c>
      <c r="E95" s="83">
        <v>5.3</v>
      </c>
      <c r="F95" s="83">
        <v>2.8</v>
      </c>
      <c r="G95" s="84">
        <f>D95*E95-G94+1.3*1.2</f>
        <v>95.00999999999999</v>
      </c>
      <c r="H95" s="84"/>
      <c r="I95" s="84"/>
      <c r="J95" s="70" t="s">
        <v>334</v>
      </c>
      <c r="K95" s="232" t="s">
        <v>633</v>
      </c>
    </row>
    <row r="96" spans="1:11" s="71" customFormat="1" ht="78.75">
      <c r="A96" s="116">
        <v>66</v>
      </c>
      <c r="B96" s="218" t="s">
        <v>83</v>
      </c>
      <c r="C96" s="226" t="s">
        <v>798</v>
      </c>
      <c r="D96" s="226">
        <v>9.7</v>
      </c>
      <c r="E96" s="226">
        <v>2.7</v>
      </c>
      <c r="F96" s="226">
        <v>2.8</v>
      </c>
      <c r="G96" s="124">
        <f>D96*E96+5.5*0.6+2.5*1.2</f>
        <v>32.49</v>
      </c>
      <c r="H96" s="124"/>
      <c r="I96" s="124"/>
      <c r="J96" s="125" t="s">
        <v>334</v>
      </c>
      <c r="K96" s="227" t="s">
        <v>402</v>
      </c>
    </row>
    <row r="97" spans="1:11" s="71" customFormat="1" ht="63">
      <c r="A97" s="228">
        <v>67</v>
      </c>
      <c r="B97" s="229" t="s">
        <v>84</v>
      </c>
      <c r="C97" s="83" t="s">
        <v>630</v>
      </c>
      <c r="D97" s="83">
        <v>9.1</v>
      </c>
      <c r="E97" s="83">
        <v>2.7</v>
      </c>
      <c r="F97" s="83">
        <v>2.6</v>
      </c>
      <c r="G97" s="84">
        <f>D97*E97+3.1*1.2+4.5*0.4</f>
        <v>30.09</v>
      </c>
      <c r="H97" s="84"/>
      <c r="I97" s="84"/>
      <c r="J97" s="70" t="s">
        <v>334</v>
      </c>
      <c r="K97" s="232" t="s">
        <v>634</v>
      </c>
    </row>
    <row r="98" spans="1:11" s="71" customFormat="1" ht="63">
      <c r="A98" s="101">
        <v>68</v>
      </c>
      <c r="B98" s="229" t="s">
        <v>927</v>
      </c>
      <c r="C98" s="83" t="s">
        <v>800</v>
      </c>
      <c r="D98" s="83">
        <v>6</v>
      </c>
      <c r="E98" s="83">
        <v>2.7</v>
      </c>
      <c r="F98" s="83">
        <v>2.6</v>
      </c>
      <c r="G98" s="84">
        <f>D98*E98</f>
        <v>16.200000000000003</v>
      </c>
      <c r="H98" s="84"/>
      <c r="I98" s="84"/>
      <c r="J98" s="70" t="s">
        <v>334</v>
      </c>
      <c r="K98" s="232" t="s">
        <v>801</v>
      </c>
    </row>
    <row r="99" spans="1:11" s="71" customFormat="1" ht="15.75">
      <c r="A99" s="391" t="s">
        <v>86</v>
      </c>
      <c r="B99" s="394"/>
      <c r="C99" s="395"/>
      <c r="D99" s="215"/>
      <c r="E99" s="215"/>
      <c r="F99" s="215"/>
      <c r="G99" s="70"/>
      <c r="H99" s="70"/>
      <c r="I99" s="70"/>
      <c r="J99" s="70"/>
      <c r="K99" s="70"/>
    </row>
    <row r="100" spans="1:11" s="71" customFormat="1" ht="39">
      <c r="A100" s="228">
        <v>69</v>
      </c>
      <c r="B100" s="229" t="s">
        <v>802</v>
      </c>
      <c r="C100" s="83" t="s">
        <v>803</v>
      </c>
      <c r="D100" s="83">
        <v>6.5</v>
      </c>
      <c r="E100" s="83">
        <v>1.8</v>
      </c>
      <c r="F100" s="83"/>
      <c r="G100" s="84">
        <f>D100*E100</f>
        <v>11.700000000000001</v>
      </c>
      <c r="H100" s="84"/>
      <c r="I100" s="84"/>
      <c r="J100" s="70" t="s">
        <v>332</v>
      </c>
      <c r="K100" s="232" t="s">
        <v>804</v>
      </c>
    </row>
    <row r="101" spans="1:11" s="71" customFormat="1" ht="64.5" customHeight="1">
      <c r="A101" s="228">
        <v>70</v>
      </c>
      <c r="B101" s="229" t="s">
        <v>87</v>
      </c>
      <c r="C101" s="83" t="s">
        <v>805</v>
      </c>
      <c r="D101" s="83">
        <v>8.7</v>
      </c>
      <c r="E101" s="83">
        <v>3</v>
      </c>
      <c r="F101" s="83">
        <v>2.75</v>
      </c>
      <c r="G101" s="84">
        <f>D101*E101</f>
        <v>26.099999999999998</v>
      </c>
      <c r="H101" s="84"/>
      <c r="I101" s="84"/>
      <c r="J101" s="70" t="s">
        <v>334</v>
      </c>
      <c r="K101" s="232" t="s">
        <v>806</v>
      </c>
    </row>
    <row r="102" spans="1:11" s="71" customFormat="1" ht="15.75">
      <c r="A102" s="391" t="s">
        <v>88</v>
      </c>
      <c r="B102" s="394"/>
      <c r="C102" s="395"/>
      <c r="D102" s="215"/>
      <c r="E102" s="215"/>
      <c r="F102" s="215"/>
      <c r="G102" s="70"/>
      <c r="H102" s="70"/>
      <c r="I102" s="70"/>
      <c r="J102" s="70"/>
      <c r="K102" s="70"/>
    </row>
    <row r="103" spans="1:11" s="71" customFormat="1" ht="31.5">
      <c r="A103" s="228">
        <v>71</v>
      </c>
      <c r="B103" s="229" t="s">
        <v>695</v>
      </c>
      <c r="C103" s="83" t="s">
        <v>696</v>
      </c>
      <c r="D103" s="83">
        <v>6</v>
      </c>
      <c r="E103" s="83">
        <v>1.5</v>
      </c>
      <c r="F103" s="83"/>
      <c r="G103" s="84">
        <f>D103*E103</f>
        <v>9</v>
      </c>
      <c r="H103" s="84"/>
      <c r="I103" s="84"/>
      <c r="J103" s="70" t="s">
        <v>334</v>
      </c>
      <c r="K103" s="232" t="s">
        <v>876</v>
      </c>
    </row>
    <row r="104" spans="1:11" s="71" customFormat="1" ht="15.75">
      <c r="A104" s="391" t="s">
        <v>365</v>
      </c>
      <c r="B104" s="394"/>
      <c r="C104" s="395"/>
      <c r="D104" s="215"/>
      <c r="E104" s="215"/>
      <c r="F104" s="215"/>
      <c r="G104" s="70"/>
      <c r="H104" s="70"/>
      <c r="I104" s="70"/>
      <c r="J104" s="70"/>
      <c r="K104" s="70"/>
    </row>
    <row r="105" spans="1:11" s="71" customFormat="1" ht="47.25">
      <c r="A105" s="228">
        <v>72</v>
      </c>
      <c r="B105" s="229" t="s">
        <v>366</v>
      </c>
      <c r="C105" s="83" t="s">
        <v>502</v>
      </c>
      <c r="D105" s="83">
        <v>3.9</v>
      </c>
      <c r="E105" s="83">
        <v>2.85</v>
      </c>
      <c r="F105" s="83">
        <v>2.48</v>
      </c>
      <c r="G105" s="84">
        <f>D105*E105</f>
        <v>11.115</v>
      </c>
      <c r="H105" s="84"/>
      <c r="I105" s="84"/>
      <c r="J105" s="70" t="s">
        <v>363</v>
      </c>
      <c r="K105" s="232" t="s">
        <v>367</v>
      </c>
    </row>
    <row r="106" spans="1:11" s="71" customFormat="1" ht="15.75">
      <c r="A106" s="391" t="s">
        <v>89</v>
      </c>
      <c r="B106" s="394"/>
      <c r="C106" s="395"/>
      <c r="D106" s="215"/>
      <c r="E106" s="215"/>
      <c r="F106" s="215"/>
      <c r="G106" s="70"/>
      <c r="H106" s="70"/>
      <c r="I106" s="70"/>
      <c r="J106" s="70"/>
      <c r="K106" s="70"/>
    </row>
    <row r="107" spans="1:11" s="71" customFormat="1" ht="15.75">
      <c r="A107" s="228">
        <v>73</v>
      </c>
      <c r="B107" s="229" t="s">
        <v>90</v>
      </c>
      <c r="C107" s="83" t="s">
        <v>376</v>
      </c>
      <c r="D107" s="83"/>
      <c r="E107" s="83"/>
      <c r="F107" s="83"/>
      <c r="G107" s="70"/>
      <c r="H107" s="70"/>
      <c r="I107" s="70"/>
      <c r="J107" s="70"/>
      <c r="K107" s="70" t="s">
        <v>356</v>
      </c>
    </row>
    <row r="108" spans="1:11" s="71" customFormat="1" ht="15.75">
      <c r="A108" s="228">
        <v>74</v>
      </c>
      <c r="B108" s="229" t="s">
        <v>91</v>
      </c>
      <c r="C108" s="83" t="s">
        <v>376</v>
      </c>
      <c r="D108" s="83"/>
      <c r="E108" s="83"/>
      <c r="F108" s="83"/>
      <c r="G108" s="70"/>
      <c r="H108" s="70"/>
      <c r="I108" s="70"/>
      <c r="J108" s="70"/>
      <c r="K108" s="70" t="s">
        <v>356</v>
      </c>
    </row>
    <row r="109" spans="1:11" s="71" customFormat="1" ht="15.75">
      <c r="A109" s="391" t="s">
        <v>361</v>
      </c>
      <c r="B109" s="394"/>
      <c r="C109" s="395"/>
      <c r="D109" s="215"/>
      <c r="E109" s="215"/>
      <c r="F109" s="215"/>
      <c r="G109" s="70"/>
      <c r="H109" s="70"/>
      <c r="I109" s="70"/>
      <c r="J109" s="70"/>
      <c r="K109" s="70"/>
    </row>
    <row r="110" spans="1:11" s="71" customFormat="1" ht="47.25">
      <c r="A110" s="228">
        <v>75</v>
      </c>
      <c r="B110" s="229" t="s">
        <v>362</v>
      </c>
      <c r="C110" s="83" t="s">
        <v>503</v>
      </c>
      <c r="D110" s="83">
        <v>4.1</v>
      </c>
      <c r="E110" s="83">
        <v>2.2</v>
      </c>
      <c r="F110" s="83">
        <v>2.2</v>
      </c>
      <c r="G110" s="84">
        <f>D110*E110</f>
        <v>9.02</v>
      </c>
      <c r="H110" s="84"/>
      <c r="I110" s="84"/>
      <c r="J110" s="70" t="s">
        <v>363</v>
      </c>
      <c r="K110" s="232" t="s">
        <v>364</v>
      </c>
    </row>
    <row r="111" spans="1:11" s="71" customFormat="1" ht="15.75">
      <c r="A111" s="391" t="s">
        <v>122</v>
      </c>
      <c r="B111" s="394"/>
      <c r="C111" s="395"/>
      <c r="D111" s="215"/>
      <c r="E111" s="215"/>
      <c r="F111" s="215"/>
      <c r="G111" s="70"/>
      <c r="H111" s="70"/>
      <c r="I111" s="70"/>
      <c r="J111" s="70"/>
      <c r="K111" s="70"/>
    </row>
    <row r="112" spans="1:11" s="126" customFormat="1" ht="63.75">
      <c r="A112" s="127">
        <v>76</v>
      </c>
      <c r="B112" s="224" t="s">
        <v>900</v>
      </c>
      <c r="C112" s="226" t="s">
        <v>563</v>
      </c>
      <c r="D112" s="226">
        <v>6.04</v>
      </c>
      <c r="E112" s="226">
        <v>3</v>
      </c>
      <c r="F112" s="226"/>
      <c r="G112" s="124">
        <f>D112*E112</f>
        <v>18.12</v>
      </c>
      <c r="H112" s="124"/>
      <c r="I112" s="124"/>
      <c r="J112" s="125"/>
      <c r="K112" s="227" t="s">
        <v>415</v>
      </c>
    </row>
    <row r="113" spans="1:11" s="126" customFormat="1" ht="68.25" customHeight="1">
      <c r="A113" s="127">
        <v>77</v>
      </c>
      <c r="B113" s="224" t="s">
        <v>901</v>
      </c>
      <c r="C113" s="226" t="s">
        <v>562</v>
      </c>
      <c r="D113" s="226">
        <v>6</v>
      </c>
      <c r="E113" s="226">
        <v>3</v>
      </c>
      <c r="F113" s="226"/>
      <c r="G113" s="124">
        <f>D113*E113</f>
        <v>18</v>
      </c>
      <c r="H113" s="124"/>
      <c r="I113" s="124"/>
      <c r="J113" s="125"/>
      <c r="K113" s="227" t="s">
        <v>538</v>
      </c>
    </row>
    <row r="114" spans="1:11" s="126" customFormat="1" ht="89.25">
      <c r="A114" s="127">
        <v>78</v>
      </c>
      <c r="B114" s="123" t="s">
        <v>902</v>
      </c>
      <c r="C114" s="226" t="s">
        <v>504</v>
      </c>
      <c r="D114" s="226">
        <v>7.65</v>
      </c>
      <c r="E114" s="226">
        <v>2.15</v>
      </c>
      <c r="F114" s="226">
        <v>2.45</v>
      </c>
      <c r="G114" s="124">
        <f>D114*E114</f>
        <v>16.4475</v>
      </c>
      <c r="H114" s="124"/>
      <c r="I114" s="124"/>
      <c r="J114" s="125" t="s">
        <v>332</v>
      </c>
      <c r="K114" s="227" t="s">
        <v>505</v>
      </c>
    </row>
    <row r="115" spans="1:11" s="71" customFormat="1" ht="31.5">
      <c r="A115" s="127">
        <v>79</v>
      </c>
      <c r="B115" s="229" t="s">
        <v>903</v>
      </c>
      <c r="C115" s="83" t="s">
        <v>414</v>
      </c>
      <c r="D115" s="83">
        <v>12</v>
      </c>
      <c r="E115" s="83">
        <v>1.5</v>
      </c>
      <c r="F115" s="83"/>
      <c r="G115" s="84">
        <f>D115*E115</f>
        <v>18</v>
      </c>
      <c r="H115" s="84"/>
      <c r="I115" s="84"/>
      <c r="J115" s="70" t="s">
        <v>363</v>
      </c>
      <c r="K115" s="232" t="s">
        <v>408</v>
      </c>
    </row>
    <row r="116" spans="1:11" s="71" customFormat="1" ht="15.75">
      <c r="A116" s="391" t="s">
        <v>857</v>
      </c>
      <c r="B116" s="394"/>
      <c r="C116" s="395"/>
      <c r="D116" s="215"/>
      <c r="E116" s="215"/>
      <c r="F116" s="215"/>
      <c r="G116" s="70"/>
      <c r="H116" s="70"/>
      <c r="I116" s="70"/>
      <c r="J116" s="70"/>
      <c r="K116" s="70"/>
    </row>
    <row r="117" spans="1:11" s="71" customFormat="1" ht="31.5">
      <c r="A117" s="228">
        <v>80</v>
      </c>
      <c r="B117" s="229" t="s">
        <v>904</v>
      </c>
      <c r="C117" s="83" t="s">
        <v>744</v>
      </c>
      <c r="D117" s="83">
        <v>12</v>
      </c>
      <c r="E117" s="83">
        <v>1</v>
      </c>
      <c r="F117" s="83"/>
      <c r="G117" s="84">
        <f>D117*E117</f>
        <v>12</v>
      </c>
      <c r="H117" s="84"/>
      <c r="I117" s="84"/>
      <c r="J117" s="70" t="s">
        <v>352</v>
      </c>
      <c r="K117" s="232" t="s">
        <v>745</v>
      </c>
    </row>
    <row r="118" spans="1:11" s="71" customFormat="1" ht="63">
      <c r="A118" s="228">
        <v>81</v>
      </c>
      <c r="B118" s="229" t="s">
        <v>746</v>
      </c>
      <c r="C118" s="83" t="s">
        <v>733</v>
      </c>
      <c r="D118" s="83">
        <v>6.6</v>
      </c>
      <c r="E118" s="83">
        <v>5.08</v>
      </c>
      <c r="F118" s="83">
        <v>2.3</v>
      </c>
      <c r="G118" s="84">
        <f>D118*E118-2.5*2.5/2</f>
        <v>30.403</v>
      </c>
      <c r="H118" s="84"/>
      <c r="I118" s="84"/>
      <c r="J118" s="70" t="s">
        <v>334</v>
      </c>
      <c r="K118" s="232" t="s">
        <v>734</v>
      </c>
    </row>
    <row r="119" spans="1:11" s="71" customFormat="1" ht="15.75">
      <c r="A119" s="391" t="s">
        <v>637</v>
      </c>
      <c r="B119" s="394"/>
      <c r="C119" s="395"/>
      <c r="D119" s="215"/>
      <c r="E119" s="215"/>
      <c r="F119" s="215"/>
      <c r="G119" s="70"/>
      <c r="H119" s="70"/>
      <c r="I119" s="70"/>
      <c r="J119" s="70"/>
      <c r="K119" s="70"/>
    </row>
    <row r="120" spans="1:11" s="71" customFormat="1" ht="38.25">
      <c r="A120" s="228">
        <v>82</v>
      </c>
      <c r="B120" s="229" t="s">
        <v>94</v>
      </c>
      <c r="C120" s="226" t="s">
        <v>638</v>
      </c>
      <c r="D120" s="226">
        <v>6</v>
      </c>
      <c r="E120" s="226">
        <v>1.4</v>
      </c>
      <c r="F120" s="226"/>
      <c r="G120" s="124">
        <f>D120*E120</f>
        <v>8.399999999999999</v>
      </c>
      <c r="H120" s="124"/>
      <c r="I120" s="124"/>
      <c r="J120" s="125" t="s">
        <v>874</v>
      </c>
      <c r="K120" s="227" t="s">
        <v>639</v>
      </c>
    </row>
    <row r="121" spans="1:11" s="71" customFormat="1" ht="38.25">
      <c r="A121" s="228">
        <v>83</v>
      </c>
      <c r="B121" s="229" t="s">
        <v>95</v>
      </c>
      <c r="C121" s="226" t="s">
        <v>638</v>
      </c>
      <c r="D121" s="226">
        <v>6</v>
      </c>
      <c r="E121" s="226">
        <v>1.4</v>
      </c>
      <c r="F121" s="226"/>
      <c r="G121" s="124">
        <f>D121*E121</f>
        <v>8.399999999999999</v>
      </c>
      <c r="H121" s="124"/>
      <c r="I121" s="124"/>
      <c r="J121" s="125"/>
      <c r="K121" s="227" t="s">
        <v>639</v>
      </c>
    </row>
    <row r="122" spans="1:11" s="71" customFormat="1" ht="15.75">
      <c r="A122" s="391" t="s">
        <v>132</v>
      </c>
      <c r="B122" s="394"/>
      <c r="C122" s="395"/>
      <c r="D122" s="215"/>
      <c r="E122" s="215"/>
      <c r="F122" s="215"/>
      <c r="G122" s="70"/>
      <c r="H122" s="70"/>
      <c r="I122" s="70"/>
      <c r="J122" s="70"/>
      <c r="K122" s="70"/>
    </row>
    <row r="123" spans="1:11" s="71" customFormat="1" ht="63">
      <c r="A123" s="228">
        <v>84</v>
      </c>
      <c r="B123" s="229" t="s">
        <v>133</v>
      </c>
      <c r="C123" s="83" t="s">
        <v>506</v>
      </c>
      <c r="D123" s="83">
        <v>6</v>
      </c>
      <c r="E123" s="83">
        <v>2.6</v>
      </c>
      <c r="F123" s="83">
        <v>2.9</v>
      </c>
      <c r="G123" s="84">
        <f>D123*E123+1.1*1.3*2</f>
        <v>18.46</v>
      </c>
      <c r="H123" s="84"/>
      <c r="I123" s="84"/>
      <c r="J123" s="70" t="s">
        <v>363</v>
      </c>
      <c r="K123" s="232" t="s">
        <v>539</v>
      </c>
    </row>
    <row r="124" spans="1:11" s="71" customFormat="1" ht="15.75">
      <c r="A124" s="396">
        <v>85</v>
      </c>
      <c r="B124" s="398" t="s">
        <v>134</v>
      </c>
      <c r="C124" s="83" t="s">
        <v>420</v>
      </c>
      <c r="D124" s="83">
        <v>2.05</v>
      </c>
      <c r="E124" s="83">
        <v>2.1</v>
      </c>
      <c r="F124" s="83"/>
      <c r="G124" s="84">
        <f>D124*E124</f>
        <v>4.305</v>
      </c>
      <c r="H124" s="84"/>
      <c r="I124" s="84"/>
      <c r="J124" s="70"/>
      <c r="K124" s="232"/>
    </row>
    <row r="125" spans="1:11" s="71" customFormat="1" ht="64.5">
      <c r="A125" s="397"/>
      <c r="B125" s="399"/>
      <c r="C125" s="83" t="s">
        <v>507</v>
      </c>
      <c r="D125" s="83">
        <v>21.2</v>
      </c>
      <c r="E125" s="83">
        <v>3.6</v>
      </c>
      <c r="F125" s="83">
        <v>3</v>
      </c>
      <c r="G125" s="84">
        <f>D125*E125+1.5*1.8-G124</f>
        <v>74.715</v>
      </c>
      <c r="H125" s="84"/>
      <c r="I125" s="84"/>
      <c r="J125" s="70" t="s">
        <v>332</v>
      </c>
      <c r="K125" s="232" t="s">
        <v>508</v>
      </c>
    </row>
    <row r="126" spans="1:11" s="71" customFormat="1" ht="64.5">
      <c r="A126" s="228">
        <v>86</v>
      </c>
      <c r="B126" s="229" t="s">
        <v>418</v>
      </c>
      <c r="C126" s="83" t="s">
        <v>509</v>
      </c>
      <c r="D126" s="83">
        <v>5</v>
      </c>
      <c r="E126" s="83">
        <v>2</v>
      </c>
      <c r="F126" s="83">
        <v>2.6</v>
      </c>
      <c r="G126" s="84">
        <f>D126*E126</f>
        <v>10</v>
      </c>
      <c r="H126" s="84"/>
      <c r="I126" s="84"/>
      <c r="J126" s="70" t="s">
        <v>416</v>
      </c>
      <c r="K126" s="232" t="s">
        <v>419</v>
      </c>
    </row>
    <row r="127" spans="1:11" s="71" customFormat="1" ht="15.75">
      <c r="A127" s="228">
        <v>87</v>
      </c>
      <c r="B127" s="229" t="s">
        <v>135</v>
      </c>
      <c r="C127" s="83" t="s">
        <v>937</v>
      </c>
      <c r="D127" s="83"/>
      <c r="E127" s="83"/>
      <c r="F127" s="83"/>
      <c r="G127" s="70"/>
      <c r="H127" s="70"/>
      <c r="I127" s="70"/>
      <c r="J127" s="70"/>
      <c r="K127" s="70"/>
    </row>
    <row r="128" spans="1:11" s="71" customFormat="1" ht="64.5">
      <c r="A128" s="228">
        <v>88</v>
      </c>
      <c r="B128" s="229" t="s">
        <v>136</v>
      </c>
      <c r="C128" s="83" t="s">
        <v>510</v>
      </c>
      <c r="D128" s="83">
        <v>5</v>
      </c>
      <c r="E128" s="83">
        <v>3</v>
      </c>
      <c r="F128" s="83">
        <v>2.3</v>
      </c>
      <c r="G128" s="84">
        <f>D128*E128</f>
        <v>15</v>
      </c>
      <c r="H128" s="84"/>
      <c r="I128" s="84"/>
      <c r="J128" s="70" t="s">
        <v>416</v>
      </c>
      <c r="K128" s="232" t="s">
        <v>417</v>
      </c>
    </row>
    <row r="129" spans="1:11" s="71" customFormat="1" ht="47.25">
      <c r="A129" s="228">
        <v>89</v>
      </c>
      <c r="B129" s="229" t="s">
        <v>137</v>
      </c>
      <c r="C129" s="83" t="s">
        <v>511</v>
      </c>
      <c r="D129" s="83">
        <v>4</v>
      </c>
      <c r="E129" s="83">
        <v>3</v>
      </c>
      <c r="F129" s="83">
        <v>2.35</v>
      </c>
      <c r="G129" s="84">
        <f>D129*E129</f>
        <v>12</v>
      </c>
      <c r="H129" s="84"/>
      <c r="I129" s="84"/>
      <c r="J129" s="70" t="s">
        <v>363</v>
      </c>
      <c r="K129" s="232" t="s">
        <v>540</v>
      </c>
    </row>
    <row r="130" spans="1:11" s="71" customFormat="1" ht="15.75">
      <c r="A130" s="391" t="s">
        <v>141</v>
      </c>
      <c r="B130" s="394"/>
      <c r="C130" s="395"/>
      <c r="D130" s="215"/>
      <c r="E130" s="215"/>
      <c r="F130" s="215"/>
      <c r="G130" s="70"/>
      <c r="H130" s="70"/>
      <c r="I130" s="70"/>
      <c r="J130" s="70"/>
      <c r="K130" s="70"/>
    </row>
    <row r="131" spans="1:11" s="126" customFormat="1" ht="53.25" customHeight="1">
      <c r="A131" s="127">
        <v>90</v>
      </c>
      <c r="B131" s="224" t="s">
        <v>425</v>
      </c>
      <c r="C131" s="226" t="s">
        <v>561</v>
      </c>
      <c r="D131" s="226">
        <v>12</v>
      </c>
      <c r="E131" s="226">
        <v>1.5</v>
      </c>
      <c r="F131" s="226"/>
      <c r="G131" s="125">
        <f>D131*E131</f>
        <v>18</v>
      </c>
      <c r="H131" s="125"/>
      <c r="I131" s="125"/>
      <c r="J131" s="125"/>
      <c r="K131" s="227" t="s">
        <v>426</v>
      </c>
    </row>
    <row r="132" spans="1:11" s="126" customFormat="1" ht="53.25" customHeight="1">
      <c r="A132" s="127">
        <v>91</v>
      </c>
      <c r="B132" s="224" t="s">
        <v>142</v>
      </c>
      <c r="C132" s="226" t="s">
        <v>561</v>
      </c>
      <c r="D132" s="226">
        <v>15</v>
      </c>
      <c r="E132" s="226">
        <v>1.5</v>
      </c>
      <c r="F132" s="226"/>
      <c r="G132" s="125">
        <f>D132*E132</f>
        <v>22.5</v>
      </c>
      <c r="H132" s="125"/>
      <c r="I132" s="125"/>
      <c r="J132" s="125"/>
      <c r="K132" s="227" t="s">
        <v>424</v>
      </c>
    </row>
    <row r="133" spans="1:11" s="126" customFormat="1" ht="53.25" customHeight="1">
      <c r="A133" s="127">
        <v>92</v>
      </c>
      <c r="B133" s="224" t="s">
        <v>143</v>
      </c>
      <c r="C133" s="226" t="s">
        <v>810</v>
      </c>
      <c r="D133" s="226">
        <v>14.4</v>
      </c>
      <c r="E133" s="226">
        <v>1.6</v>
      </c>
      <c r="F133" s="226"/>
      <c r="G133" s="124">
        <f>D133*E133</f>
        <v>23.040000000000003</v>
      </c>
      <c r="H133" s="124"/>
      <c r="I133" s="124"/>
      <c r="J133" s="125"/>
      <c r="K133" s="227" t="s">
        <v>423</v>
      </c>
    </row>
    <row r="134" spans="1:11" s="71" customFormat="1" ht="15.75">
      <c r="A134" s="391" t="s">
        <v>144</v>
      </c>
      <c r="B134" s="394"/>
      <c r="C134" s="395"/>
      <c r="D134" s="215"/>
      <c r="E134" s="215"/>
      <c r="F134" s="215"/>
      <c r="G134" s="70"/>
      <c r="H134" s="70"/>
      <c r="I134" s="70"/>
      <c r="J134" s="70"/>
      <c r="K134" s="70"/>
    </row>
    <row r="135" spans="1:11" s="71" customFormat="1" ht="63">
      <c r="A135" s="237">
        <v>93</v>
      </c>
      <c r="B135" s="133" t="s">
        <v>335</v>
      </c>
      <c r="C135" s="83" t="s">
        <v>811</v>
      </c>
      <c r="D135" s="83">
        <v>7.9</v>
      </c>
      <c r="E135" s="83">
        <v>2.5</v>
      </c>
      <c r="F135" s="83">
        <v>2.7</v>
      </c>
      <c r="G135" s="84">
        <f aca="true" t="shared" si="1" ref="G135:G140">D135*E135</f>
        <v>19.75</v>
      </c>
      <c r="H135" s="84"/>
      <c r="I135" s="84"/>
      <c r="J135" s="70" t="s">
        <v>332</v>
      </c>
      <c r="K135" s="232" t="s">
        <v>812</v>
      </c>
    </row>
    <row r="136" spans="1:11" s="71" customFormat="1" ht="63">
      <c r="A136" s="228">
        <v>94</v>
      </c>
      <c r="B136" s="229" t="s">
        <v>699</v>
      </c>
      <c r="C136" s="83" t="s">
        <v>700</v>
      </c>
      <c r="D136" s="83">
        <v>6</v>
      </c>
      <c r="E136" s="83">
        <v>2.5</v>
      </c>
      <c r="F136" s="83">
        <v>2.3</v>
      </c>
      <c r="G136" s="84">
        <f t="shared" si="1"/>
        <v>15</v>
      </c>
      <c r="H136" s="84"/>
      <c r="I136" s="84"/>
      <c r="J136" s="70" t="s">
        <v>332</v>
      </c>
      <c r="K136" s="232" t="s">
        <v>701</v>
      </c>
    </row>
    <row r="137" spans="1:11" s="126" customFormat="1" ht="38.25">
      <c r="A137" s="127">
        <v>95</v>
      </c>
      <c r="B137" s="224" t="s">
        <v>147</v>
      </c>
      <c r="C137" s="226" t="s">
        <v>704</v>
      </c>
      <c r="D137" s="226">
        <v>6.2</v>
      </c>
      <c r="E137" s="226">
        <v>2.8</v>
      </c>
      <c r="F137" s="226"/>
      <c r="G137" s="124">
        <f t="shared" si="1"/>
        <v>17.36</v>
      </c>
      <c r="H137" s="124"/>
      <c r="I137" s="124"/>
      <c r="J137" s="125" t="s">
        <v>332</v>
      </c>
      <c r="K137" s="227" t="s">
        <v>705</v>
      </c>
    </row>
    <row r="138" spans="1:11" s="71" customFormat="1" ht="78.75">
      <c r="A138" s="228">
        <v>96</v>
      </c>
      <c r="B138" s="229" t="s">
        <v>148</v>
      </c>
      <c r="C138" s="83" t="s">
        <v>703</v>
      </c>
      <c r="D138" s="83">
        <v>6.7</v>
      </c>
      <c r="E138" s="83">
        <v>2.6</v>
      </c>
      <c r="F138" s="83">
        <v>2.75</v>
      </c>
      <c r="G138" s="84">
        <f t="shared" si="1"/>
        <v>17.42</v>
      </c>
      <c r="H138" s="84"/>
      <c r="I138" s="84"/>
      <c r="J138" s="70" t="s">
        <v>334</v>
      </c>
      <c r="K138" s="232" t="s">
        <v>348</v>
      </c>
    </row>
    <row r="139" spans="1:11" s="71" customFormat="1" ht="51">
      <c r="A139" s="228">
        <v>97</v>
      </c>
      <c r="B139" s="229" t="s">
        <v>149</v>
      </c>
      <c r="C139" s="226" t="s">
        <v>706</v>
      </c>
      <c r="D139" s="226">
        <v>9</v>
      </c>
      <c r="E139" s="226">
        <v>1.8</v>
      </c>
      <c r="F139" s="226"/>
      <c r="G139" s="124">
        <f t="shared" si="1"/>
        <v>16.2</v>
      </c>
      <c r="H139" s="124"/>
      <c r="I139" s="124"/>
      <c r="J139" s="125" t="s">
        <v>352</v>
      </c>
      <c r="K139" s="227" t="s">
        <v>707</v>
      </c>
    </row>
    <row r="140" spans="1:11" s="126" customFormat="1" ht="40.5" customHeight="1">
      <c r="A140" s="127">
        <v>98</v>
      </c>
      <c r="B140" s="224" t="s">
        <v>150</v>
      </c>
      <c r="C140" s="226" t="s">
        <v>706</v>
      </c>
      <c r="D140" s="226">
        <v>9</v>
      </c>
      <c r="E140" s="226">
        <v>2</v>
      </c>
      <c r="F140" s="226"/>
      <c r="G140" s="124">
        <f t="shared" si="1"/>
        <v>18</v>
      </c>
      <c r="H140" s="124"/>
      <c r="I140" s="124"/>
      <c r="J140" s="125" t="s">
        <v>352</v>
      </c>
      <c r="K140" s="227" t="s">
        <v>707</v>
      </c>
    </row>
    <row r="141" spans="1:11" s="186" customFormat="1" ht="15.75">
      <c r="A141" s="187">
        <v>99</v>
      </c>
      <c r="B141" s="188" t="s">
        <v>151</v>
      </c>
      <c r="C141" s="189" t="s">
        <v>708</v>
      </c>
      <c r="D141" s="189"/>
      <c r="E141" s="189"/>
      <c r="F141" s="189"/>
      <c r="G141" s="184"/>
      <c r="H141" s="184"/>
      <c r="I141" s="184"/>
      <c r="J141" s="184"/>
      <c r="K141" s="184" t="s">
        <v>356</v>
      </c>
    </row>
    <row r="142" spans="1:11" s="186" customFormat="1" ht="47.25">
      <c r="A142" s="187">
        <v>100</v>
      </c>
      <c r="B142" s="188" t="s">
        <v>152</v>
      </c>
      <c r="C142" s="189" t="s">
        <v>718</v>
      </c>
      <c r="D142" s="189">
        <v>4.6</v>
      </c>
      <c r="E142" s="189">
        <v>2.6</v>
      </c>
      <c r="F142" s="189">
        <v>2.2</v>
      </c>
      <c r="G142" s="190">
        <f>D142*E142</f>
        <v>11.959999999999999</v>
      </c>
      <c r="H142" s="190"/>
      <c r="I142" s="190"/>
      <c r="J142" s="184" t="s">
        <v>332</v>
      </c>
      <c r="K142" s="185" t="s">
        <v>719</v>
      </c>
    </row>
    <row r="143" spans="1:11" s="186" customFormat="1" ht="64.5">
      <c r="A143" s="187">
        <v>101</v>
      </c>
      <c r="B143" s="188" t="s">
        <v>154</v>
      </c>
      <c r="C143" s="189" t="s">
        <v>716</v>
      </c>
      <c r="D143" s="189">
        <v>10.4</v>
      </c>
      <c r="E143" s="189">
        <v>2.3</v>
      </c>
      <c r="F143" s="189">
        <v>2.7</v>
      </c>
      <c r="G143" s="190">
        <f>D143*E143+1.6*4.5</f>
        <v>31.119999999999997</v>
      </c>
      <c r="H143" s="190"/>
      <c r="I143" s="190"/>
      <c r="J143" s="184" t="s">
        <v>334</v>
      </c>
      <c r="K143" s="185" t="s">
        <v>717</v>
      </c>
    </row>
    <row r="144" spans="1:11" s="186" customFormat="1" ht="47.25">
      <c r="A144" s="187">
        <v>102</v>
      </c>
      <c r="B144" s="188" t="s">
        <v>712</v>
      </c>
      <c r="C144" s="189" t="s">
        <v>713</v>
      </c>
      <c r="D144" s="189">
        <v>3.5</v>
      </c>
      <c r="E144" s="189">
        <v>1.8</v>
      </c>
      <c r="F144" s="189">
        <v>2.5</v>
      </c>
      <c r="G144" s="190">
        <f>D144*E144</f>
        <v>6.3</v>
      </c>
      <c r="H144" s="190"/>
      <c r="I144" s="190"/>
      <c r="J144" s="184" t="s">
        <v>332</v>
      </c>
      <c r="K144" s="185" t="s">
        <v>714</v>
      </c>
    </row>
    <row r="145" spans="1:11" s="186" customFormat="1" ht="95.25" customHeight="1">
      <c r="A145" s="187">
        <v>103</v>
      </c>
      <c r="B145" s="188" t="s">
        <v>709</v>
      </c>
      <c r="C145" s="189" t="s">
        <v>710</v>
      </c>
      <c r="D145" s="189">
        <v>14</v>
      </c>
      <c r="E145" s="189">
        <v>7.5</v>
      </c>
      <c r="F145" s="189">
        <v>3.4</v>
      </c>
      <c r="G145" s="190">
        <f>D145*E145</f>
        <v>105</v>
      </c>
      <c r="H145" s="190"/>
      <c r="I145" s="190"/>
      <c r="J145" s="184" t="s">
        <v>334</v>
      </c>
      <c r="K145" s="185" t="s">
        <v>711</v>
      </c>
    </row>
    <row r="146" spans="1:11" s="71" customFormat="1" ht="15.75">
      <c r="A146" s="391" t="s">
        <v>157</v>
      </c>
      <c r="B146" s="394"/>
      <c r="C146" s="395"/>
      <c r="D146" s="215"/>
      <c r="E146" s="215"/>
      <c r="F146" s="215"/>
      <c r="G146" s="70"/>
      <c r="H146" s="70"/>
      <c r="I146" s="70"/>
      <c r="J146" s="70"/>
      <c r="K146" s="70"/>
    </row>
    <row r="147" spans="1:11" s="71" customFormat="1" ht="15.75">
      <c r="A147" s="396">
        <v>104</v>
      </c>
      <c r="B147" s="398" t="s">
        <v>751</v>
      </c>
      <c r="C147" s="83" t="s">
        <v>241</v>
      </c>
      <c r="D147" s="83">
        <v>7.9</v>
      </c>
      <c r="E147" s="83">
        <v>3.3</v>
      </c>
      <c r="F147" s="83"/>
      <c r="G147" s="84">
        <f>D147*E147</f>
        <v>26.07</v>
      </c>
      <c r="H147" s="84"/>
      <c r="I147" s="84"/>
      <c r="J147" s="70"/>
      <c r="K147" s="70"/>
    </row>
    <row r="148" spans="1:11" s="71" customFormat="1" ht="63">
      <c r="A148" s="397"/>
      <c r="B148" s="399"/>
      <c r="C148" s="83" t="s">
        <v>752</v>
      </c>
      <c r="D148" s="83">
        <v>15.1</v>
      </c>
      <c r="E148" s="83">
        <v>5.6</v>
      </c>
      <c r="F148" s="83">
        <v>3.45</v>
      </c>
      <c r="G148" s="84">
        <f>D148*E148-G147+1.2*1.5*2</f>
        <v>62.08999999999999</v>
      </c>
      <c r="H148" s="84"/>
      <c r="I148" s="84"/>
      <c r="J148" s="70" t="s">
        <v>334</v>
      </c>
      <c r="K148" s="232"/>
    </row>
    <row r="149" spans="1:11" s="71" customFormat="1" ht="78.75">
      <c r="A149" s="228">
        <v>105</v>
      </c>
      <c r="B149" s="229" t="s">
        <v>158</v>
      </c>
      <c r="C149" s="210" t="s">
        <v>880</v>
      </c>
      <c r="D149" s="210">
        <v>4</v>
      </c>
      <c r="E149" s="210">
        <v>1.5</v>
      </c>
      <c r="F149" s="210">
        <v>2.2</v>
      </c>
      <c r="G149" s="211">
        <v>6</v>
      </c>
      <c r="H149" s="211"/>
      <c r="I149" s="211"/>
      <c r="J149" s="212" t="s">
        <v>875</v>
      </c>
      <c r="K149" s="144" t="s">
        <v>876</v>
      </c>
    </row>
    <row r="150" spans="1:11" s="71" customFormat="1" ht="78.75">
      <c r="A150" s="228">
        <v>106</v>
      </c>
      <c r="B150" s="229" t="s">
        <v>159</v>
      </c>
      <c r="C150" s="210" t="s">
        <v>880</v>
      </c>
      <c r="D150" s="210">
        <v>4</v>
      </c>
      <c r="E150" s="210">
        <v>1.5</v>
      </c>
      <c r="F150" s="210">
        <v>2.2</v>
      </c>
      <c r="G150" s="211">
        <v>6</v>
      </c>
      <c r="H150" s="211"/>
      <c r="I150" s="211"/>
      <c r="J150" s="212" t="s">
        <v>875</v>
      </c>
      <c r="K150" s="144" t="s">
        <v>876</v>
      </c>
    </row>
    <row r="151" spans="1:11" s="71" customFormat="1" ht="26.25">
      <c r="A151" s="228">
        <v>107</v>
      </c>
      <c r="B151" s="229" t="s">
        <v>160</v>
      </c>
      <c r="C151" s="83" t="s">
        <v>452</v>
      </c>
      <c r="D151" s="83">
        <v>6</v>
      </c>
      <c r="E151" s="83">
        <v>1.5</v>
      </c>
      <c r="F151" s="83"/>
      <c r="G151" s="70">
        <f>D151*E151</f>
        <v>9</v>
      </c>
      <c r="H151" s="70"/>
      <c r="I151" s="70"/>
      <c r="J151" s="70"/>
      <c r="K151" s="232" t="s">
        <v>453</v>
      </c>
    </row>
    <row r="152" spans="1:11" s="126" customFormat="1" ht="38.25">
      <c r="A152" s="127">
        <v>108</v>
      </c>
      <c r="B152" s="224" t="s">
        <v>161</v>
      </c>
      <c r="C152" s="226" t="s">
        <v>454</v>
      </c>
      <c r="D152" s="226">
        <v>6.25</v>
      </c>
      <c r="E152" s="226">
        <v>1.35</v>
      </c>
      <c r="F152" s="226"/>
      <c r="G152" s="124">
        <f>D152*E152</f>
        <v>8.4375</v>
      </c>
      <c r="H152" s="124"/>
      <c r="I152" s="124"/>
      <c r="J152" s="125" t="s">
        <v>332</v>
      </c>
      <c r="K152" s="227" t="s">
        <v>455</v>
      </c>
    </row>
    <row r="153" spans="1:11" s="71" customFormat="1" ht="78.75">
      <c r="A153" s="217">
        <v>109</v>
      </c>
      <c r="B153" s="218" t="s">
        <v>162</v>
      </c>
      <c r="C153" s="83" t="s">
        <v>871</v>
      </c>
      <c r="D153" s="83">
        <v>12</v>
      </c>
      <c r="E153" s="83">
        <v>1</v>
      </c>
      <c r="F153" s="83">
        <v>2.5</v>
      </c>
      <c r="G153" s="84">
        <f>D153*E153+2.8*4.8</f>
        <v>25.439999999999998</v>
      </c>
      <c r="H153" s="84"/>
      <c r="I153" s="84"/>
      <c r="J153" s="70" t="s">
        <v>332</v>
      </c>
      <c r="K153" s="232" t="s">
        <v>541</v>
      </c>
    </row>
    <row r="154" spans="1:11" s="71" customFormat="1" ht="15.75">
      <c r="A154" s="391" t="s">
        <v>163</v>
      </c>
      <c r="B154" s="394"/>
      <c r="C154" s="395"/>
      <c r="D154" s="215"/>
      <c r="E154" s="215"/>
      <c r="F154" s="215"/>
      <c r="G154" s="70"/>
      <c r="H154" s="70"/>
      <c r="I154" s="70"/>
      <c r="J154" s="70"/>
      <c r="K154" s="70"/>
    </row>
    <row r="155" spans="1:11" s="71" customFormat="1" ht="78.75">
      <c r="A155" s="134">
        <v>110</v>
      </c>
      <c r="B155" s="229" t="s">
        <v>164</v>
      </c>
      <c r="C155" s="83" t="s">
        <v>513</v>
      </c>
      <c r="D155" s="83">
        <v>9.25</v>
      </c>
      <c r="E155" s="83">
        <v>3.85</v>
      </c>
      <c r="F155" s="83">
        <v>2.2</v>
      </c>
      <c r="G155" s="84">
        <f>D155*E155+1.3*1.8</f>
        <v>37.95250000000001</v>
      </c>
      <c r="H155" s="84"/>
      <c r="I155" s="84"/>
      <c r="J155" s="70" t="s">
        <v>332</v>
      </c>
      <c r="K155" s="232" t="s">
        <v>542</v>
      </c>
    </row>
    <row r="156" spans="1:11" s="71" customFormat="1" ht="15.75">
      <c r="A156" s="396">
        <v>111</v>
      </c>
      <c r="B156" s="398" t="s">
        <v>165</v>
      </c>
      <c r="C156" s="83" t="s">
        <v>241</v>
      </c>
      <c r="D156" s="83">
        <v>3.1</v>
      </c>
      <c r="E156" s="83">
        <v>2.1</v>
      </c>
      <c r="F156" s="83"/>
      <c r="G156" s="84">
        <f>D156*E156-0.8*0.6/2</f>
        <v>6.2700000000000005</v>
      </c>
      <c r="H156" s="84"/>
      <c r="I156" s="84"/>
      <c r="J156" s="70"/>
      <c r="K156" s="70"/>
    </row>
    <row r="157" spans="1:11" s="71" customFormat="1" ht="78.75">
      <c r="A157" s="397"/>
      <c r="B157" s="399"/>
      <c r="C157" s="83" t="s">
        <v>644</v>
      </c>
      <c r="D157" s="83">
        <v>18.8</v>
      </c>
      <c r="E157" s="83">
        <v>3.8</v>
      </c>
      <c r="F157" s="83">
        <v>2.6</v>
      </c>
      <c r="G157" s="84">
        <f>D157*E157-G156</f>
        <v>65.17</v>
      </c>
      <c r="H157" s="84"/>
      <c r="I157" s="84"/>
      <c r="J157" s="70" t="s">
        <v>332</v>
      </c>
      <c r="K157" s="232" t="s">
        <v>543</v>
      </c>
    </row>
    <row r="158" spans="1:11" s="71" customFormat="1" ht="47.25">
      <c r="A158" s="228">
        <v>112</v>
      </c>
      <c r="B158" s="229" t="s">
        <v>166</v>
      </c>
      <c r="C158" s="83" t="s">
        <v>443</v>
      </c>
      <c r="D158" s="83">
        <v>6.55</v>
      </c>
      <c r="E158" s="83">
        <v>2.75</v>
      </c>
      <c r="F158" s="83"/>
      <c r="G158" s="84">
        <f>D158*E158</f>
        <v>18.0125</v>
      </c>
      <c r="H158" s="84"/>
      <c r="I158" s="84"/>
      <c r="J158" s="70" t="s">
        <v>334</v>
      </c>
      <c r="K158" s="232" t="s">
        <v>444</v>
      </c>
    </row>
    <row r="159" spans="1:11" s="71" customFormat="1" ht="15.75">
      <c r="A159" s="391" t="s">
        <v>653</v>
      </c>
      <c r="B159" s="394"/>
      <c r="C159" s="395"/>
      <c r="D159" s="215"/>
      <c r="E159" s="215"/>
      <c r="F159" s="215"/>
      <c r="G159" s="84">
        <f>SUM(G155:G158)-G156</f>
        <v>121.13500000000002</v>
      </c>
      <c r="H159" s="70"/>
      <c r="I159" s="70"/>
      <c r="J159" s="70"/>
      <c r="K159" s="70"/>
    </row>
    <row r="160" spans="1:11" s="71" customFormat="1" ht="63">
      <c r="A160" s="228">
        <v>113</v>
      </c>
      <c r="B160" s="229" t="s">
        <v>654</v>
      </c>
      <c r="C160" s="83" t="s">
        <v>655</v>
      </c>
      <c r="D160" s="83">
        <v>9</v>
      </c>
      <c r="E160" s="83">
        <v>3.3</v>
      </c>
      <c r="F160" s="83">
        <v>2.6</v>
      </c>
      <c r="G160" s="84">
        <f>D160*E160</f>
        <v>29.7</v>
      </c>
      <c r="H160" s="84"/>
      <c r="I160" s="84"/>
      <c r="J160" s="70" t="s">
        <v>332</v>
      </c>
      <c r="K160" s="232" t="s">
        <v>656</v>
      </c>
    </row>
    <row r="161" spans="1:11" s="71" customFormat="1" ht="31.5">
      <c r="A161" s="228">
        <v>114</v>
      </c>
      <c r="B161" s="229" t="s">
        <v>640</v>
      </c>
      <c r="C161" s="83" t="s">
        <v>641</v>
      </c>
      <c r="D161" s="83">
        <v>10.8</v>
      </c>
      <c r="E161" s="83">
        <v>1.5</v>
      </c>
      <c r="F161" s="83"/>
      <c r="G161" s="84">
        <f>D161*E161</f>
        <v>16.200000000000003</v>
      </c>
      <c r="H161" s="84"/>
      <c r="I161" s="84"/>
      <c r="J161" s="70" t="s">
        <v>642</v>
      </c>
      <c r="K161" s="232" t="s">
        <v>643</v>
      </c>
    </row>
    <row r="162" spans="1:11" s="71" customFormat="1" ht="63">
      <c r="A162" s="228">
        <v>115</v>
      </c>
      <c r="B162" s="229" t="s">
        <v>645</v>
      </c>
      <c r="C162" s="83" t="s">
        <v>646</v>
      </c>
      <c r="D162" s="83">
        <v>4.86</v>
      </c>
      <c r="E162" s="83">
        <v>2.45</v>
      </c>
      <c r="F162" s="83">
        <v>2.4</v>
      </c>
      <c r="G162" s="84">
        <f>D162*E162</f>
        <v>11.907000000000002</v>
      </c>
      <c r="H162" s="84"/>
      <c r="I162" s="84"/>
      <c r="J162" s="70" t="s">
        <v>332</v>
      </c>
      <c r="K162" s="232" t="s">
        <v>647</v>
      </c>
    </row>
    <row r="163" spans="1:11" s="71" customFormat="1" ht="15.75">
      <c r="A163" s="391" t="s">
        <v>852</v>
      </c>
      <c r="B163" s="394"/>
      <c r="C163" s="395"/>
      <c r="D163" s="215"/>
      <c r="E163" s="215"/>
      <c r="F163" s="215"/>
      <c r="G163" s="70"/>
      <c r="H163" s="70"/>
      <c r="I163" s="70"/>
      <c r="J163" s="70"/>
      <c r="K163" s="70"/>
    </row>
    <row r="164" spans="1:11" s="71" customFormat="1" ht="63">
      <c r="A164" s="134">
        <v>116</v>
      </c>
      <c r="B164" s="133" t="s">
        <v>170</v>
      </c>
      <c r="C164" s="83" t="s">
        <v>739</v>
      </c>
      <c r="D164" s="83">
        <v>14</v>
      </c>
      <c r="E164" s="83">
        <v>2</v>
      </c>
      <c r="F164" s="83">
        <v>2.45</v>
      </c>
      <c r="G164" s="84">
        <f>D164*E164+4*2.4</f>
        <v>37.6</v>
      </c>
      <c r="H164" s="84"/>
      <c r="I164" s="84"/>
      <c r="J164" s="70" t="s">
        <v>881</v>
      </c>
      <c r="K164" s="232" t="s">
        <v>740</v>
      </c>
    </row>
    <row r="165" spans="1:11" s="71" customFormat="1" ht="63">
      <c r="A165" s="217">
        <v>117</v>
      </c>
      <c r="B165" s="218" t="s">
        <v>171</v>
      </c>
      <c r="C165" s="83" t="s">
        <v>514</v>
      </c>
      <c r="D165" s="83">
        <v>20</v>
      </c>
      <c r="E165" s="83">
        <v>2.2</v>
      </c>
      <c r="F165" s="83">
        <v>2.45</v>
      </c>
      <c r="G165" s="84">
        <f>D165*E165</f>
        <v>44</v>
      </c>
      <c r="H165" s="84"/>
      <c r="I165" s="84"/>
      <c r="J165" s="70" t="s">
        <v>881</v>
      </c>
      <c r="K165" s="232" t="s">
        <v>460</v>
      </c>
    </row>
    <row r="166" spans="1:11" s="71" customFormat="1" ht="68.25" customHeight="1">
      <c r="A166" s="228">
        <v>118</v>
      </c>
      <c r="B166" s="230" t="s">
        <v>741</v>
      </c>
      <c r="C166" s="83" t="s">
        <v>742</v>
      </c>
      <c r="D166" s="83">
        <v>11</v>
      </c>
      <c r="E166" s="83">
        <v>2.1</v>
      </c>
      <c r="F166" s="83"/>
      <c r="G166" s="84">
        <f>D166*E166</f>
        <v>23.1</v>
      </c>
      <c r="H166" s="84"/>
      <c r="I166" s="84"/>
      <c r="J166" s="70" t="s">
        <v>352</v>
      </c>
      <c r="K166" s="232" t="s">
        <v>743</v>
      </c>
    </row>
    <row r="167" spans="1:11" s="71" customFormat="1" ht="15.75">
      <c r="A167" s="391" t="s">
        <v>858</v>
      </c>
      <c r="B167" s="394"/>
      <c r="C167" s="395"/>
      <c r="D167" s="215"/>
      <c r="E167" s="215"/>
      <c r="F167" s="215"/>
      <c r="G167" s="70"/>
      <c r="H167" s="70"/>
      <c r="I167" s="70"/>
      <c r="J167" s="70"/>
      <c r="K167" s="70"/>
    </row>
    <row r="168" spans="1:11" s="71" customFormat="1" ht="63">
      <c r="A168" s="228">
        <v>119</v>
      </c>
      <c r="B168" s="229" t="s">
        <v>233</v>
      </c>
      <c r="C168" s="83" t="s">
        <v>609</v>
      </c>
      <c r="D168" s="83">
        <v>6.2</v>
      </c>
      <c r="E168" s="83">
        <v>3</v>
      </c>
      <c r="F168" s="83">
        <v>2.4</v>
      </c>
      <c r="G168" s="84">
        <f>D168*E168</f>
        <v>18.6</v>
      </c>
      <c r="H168" s="84"/>
      <c r="I168" s="84"/>
      <c r="J168" s="70" t="s">
        <v>334</v>
      </c>
      <c r="K168" s="232" t="s">
        <v>610</v>
      </c>
    </row>
    <row r="169" spans="1:11" s="71" customFormat="1" ht="63">
      <c r="A169" s="228">
        <v>120</v>
      </c>
      <c r="B169" s="229" t="s">
        <v>234</v>
      </c>
      <c r="C169" s="83" t="s">
        <v>605</v>
      </c>
      <c r="D169" s="83">
        <v>6.2</v>
      </c>
      <c r="E169" s="83">
        <v>3</v>
      </c>
      <c r="F169" s="83">
        <v>2.4</v>
      </c>
      <c r="G169" s="84">
        <f>D169*E169</f>
        <v>18.6</v>
      </c>
      <c r="H169" s="84"/>
      <c r="I169" s="84"/>
      <c r="J169" s="70" t="s">
        <v>334</v>
      </c>
      <c r="K169" s="232" t="s">
        <v>606</v>
      </c>
    </row>
    <row r="170" spans="1:11" s="71" customFormat="1" ht="63">
      <c r="A170" s="228">
        <v>121</v>
      </c>
      <c r="B170" s="229" t="s">
        <v>564</v>
      </c>
      <c r="C170" s="83" t="s">
        <v>605</v>
      </c>
      <c r="D170" s="83">
        <v>6.3</v>
      </c>
      <c r="E170" s="83">
        <v>3</v>
      </c>
      <c r="F170" s="83">
        <v>2.4</v>
      </c>
      <c r="G170" s="84">
        <f>D170*E170</f>
        <v>18.9</v>
      </c>
      <c r="H170" s="84"/>
      <c r="I170" s="84"/>
      <c r="J170" s="70" t="s">
        <v>334</v>
      </c>
      <c r="K170" s="232" t="s">
        <v>606</v>
      </c>
    </row>
    <row r="171" spans="1:11" s="71" customFormat="1" ht="63">
      <c r="A171" s="228">
        <v>122</v>
      </c>
      <c r="B171" s="229" t="s">
        <v>544</v>
      </c>
      <c r="C171" s="83" t="s">
        <v>607</v>
      </c>
      <c r="D171" s="83">
        <v>6</v>
      </c>
      <c r="E171" s="83">
        <v>2.8</v>
      </c>
      <c r="F171" s="83">
        <v>2.4</v>
      </c>
      <c r="G171" s="84">
        <f>D171*E171</f>
        <v>16.799999999999997</v>
      </c>
      <c r="H171" s="84"/>
      <c r="I171" s="84"/>
      <c r="J171" s="70" t="s">
        <v>334</v>
      </c>
      <c r="K171" s="232" t="s">
        <v>608</v>
      </c>
    </row>
    <row r="172" spans="1:11" s="71" customFormat="1" ht="15.75">
      <c r="A172" s="391" t="s">
        <v>173</v>
      </c>
      <c r="B172" s="394"/>
      <c r="C172" s="395"/>
      <c r="D172" s="215"/>
      <c r="E172" s="215"/>
      <c r="F172" s="215"/>
      <c r="G172" s="70"/>
      <c r="H172" s="70"/>
      <c r="I172" s="70"/>
      <c r="J172" s="70"/>
      <c r="K172" s="70"/>
    </row>
    <row r="173" spans="1:11" s="126" customFormat="1" ht="54" customHeight="1">
      <c r="A173" s="127">
        <v>123</v>
      </c>
      <c r="B173" s="224" t="s">
        <v>911</v>
      </c>
      <c r="C173" s="226" t="s">
        <v>813</v>
      </c>
      <c r="D173" s="226">
        <v>6</v>
      </c>
      <c r="E173" s="226">
        <v>1.6</v>
      </c>
      <c r="F173" s="226"/>
      <c r="G173" s="124">
        <f>D173*E173</f>
        <v>9.600000000000001</v>
      </c>
      <c r="H173" s="124"/>
      <c r="I173" s="124"/>
      <c r="J173" s="125" t="s">
        <v>332</v>
      </c>
      <c r="K173" s="227" t="s">
        <v>814</v>
      </c>
    </row>
    <row r="174" spans="1:11" s="71" customFormat="1" ht="15.75">
      <c r="A174" s="391" t="s">
        <v>448</v>
      </c>
      <c r="B174" s="394"/>
      <c r="C174" s="395"/>
      <c r="D174" s="215"/>
      <c r="E174" s="215"/>
      <c r="F174" s="215"/>
      <c r="G174" s="70"/>
      <c r="H174" s="70"/>
      <c r="I174" s="70"/>
      <c r="J174" s="70"/>
      <c r="K174" s="70"/>
    </row>
    <row r="175" spans="1:11" s="71" customFormat="1" ht="78.75">
      <c r="A175" s="217">
        <v>124</v>
      </c>
      <c r="B175" s="218" t="s">
        <v>449</v>
      </c>
      <c r="C175" s="83" t="s">
        <v>545</v>
      </c>
      <c r="D175" s="83">
        <v>13.2</v>
      </c>
      <c r="E175" s="83">
        <v>3.8</v>
      </c>
      <c r="F175" s="83">
        <v>2.66</v>
      </c>
      <c r="G175" s="84">
        <f>D175*E175</f>
        <v>50.16</v>
      </c>
      <c r="H175" s="84"/>
      <c r="I175" s="84"/>
      <c r="J175" s="70" t="s">
        <v>332</v>
      </c>
      <c r="K175" s="232" t="s">
        <v>450</v>
      </c>
    </row>
    <row r="176" spans="1:11" s="71" customFormat="1" ht="64.5">
      <c r="A176" s="228">
        <v>125</v>
      </c>
      <c r="B176" s="229" t="s">
        <v>206</v>
      </c>
      <c r="C176" s="83" t="s">
        <v>515</v>
      </c>
      <c r="D176" s="83">
        <v>5.6</v>
      </c>
      <c r="E176" s="83">
        <v>2.9</v>
      </c>
      <c r="F176" s="83">
        <v>2.6</v>
      </c>
      <c r="G176" s="84">
        <f>D176*E176</f>
        <v>16.24</v>
      </c>
      <c r="H176" s="84"/>
      <c r="I176" s="84"/>
      <c r="J176" s="70" t="s">
        <v>352</v>
      </c>
      <c r="K176" s="232" t="s">
        <v>451</v>
      </c>
    </row>
    <row r="177" spans="1:11" s="192" customFormat="1" ht="15.75">
      <c r="A177" s="439" t="s">
        <v>815</v>
      </c>
      <c r="B177" s="440"/>
      <c r="C177" s="441"/>
      <c r="D177" s="220"/>
      <c r="E177" s="220"/>
      <c r="F177" s="220"/>
      <c r="G177" s="191"/>
      <c r="H177" s="191"/>
      <c r="I177" s="191"/>
      <c r="J177" s="191"/>
      <c r="K177" s="191"/>
    </row>
    <row r="178" spans="1:11" s="192" customFormat="1" ht="63">
      <c r="A178" s="193">
        <v>126</v>
      </c>
      <c r="B178" s="194" t="s">
        <v>816</v>
      </c>
      <c r="C178" s="195" t="s">
        <v>817</v>
      </c>
      <c r="D178" s="195">
        <v>10</v>
      </c>
      <c r="E178" s="195">
        <v>1.2</v>
      </c>
      <c r="F178" s="195">
        <v>2.6</v>
      </c>
      <c r="G178" s="196">
        <f>D178*E178+4.5*2.5</f>
        <v>23.25</v>
      </c>
      <c r="H178" s="196"/>
      <c r="I178" s="196"/>
      <c r="J178" s="191" t="s">
        <v>334</v>
      </c>
      <c r="K178" s="197" t="s">
        <v>818</v>
      </c>
    </row>
    <row r="179" spans="1:11" s="71" customFormat="1" ht="15.75">
      <c r="A179" s="391" t="s">
        <v>175</v>
      </c>
      <c r="B179" s="394"/>
      <c r="C179" s="395"/>
      <c r="D179" s="215"/>
      <c r="E179" s="215"/>
      <c r="F179" s="215"/>
      <c r="G179" s="70"/>
      <c r="H179" s="70"/>
      <c r="I179" s="70"/>
      <c r="J179" s="70"/>
      <c r="K179" s="70"/>
    </row>
    <row r="180" spans="1:11" s="71" customFormat="1" ht="31.5">
      <c r="A180" s="228">
        <v>127</v>
      </c>
      <c r="B180" s="229" t="s">
        <v>883</v>
      </c>
      <c r="C180" s="83" t="s">
        <v>671</v>
      </c>
      <c r="D180" s="83">
        <v>6</v>
      </c>
      <c r="E180" s="83">
        <v>2</v>
      </c>
      <c r="F180" s="83"/>
      <c r="G180" s="84">
        <f>D180*E180</f>
        <v>12</v>
      </c>
      <c r="H180" s="84"/>
      <c r="I180" s="84"/>
      <c r="J180" s="70" t="s">
        <v>352</v>
      </c>
      <c r="K180" s="232" t="s">
        <v>732</v>
      </c>
    </row>
    <row r="181" spans="1:11" s="71" customFormat="1" ht="63">
      <c r="A181" s="228">
        <v>128</v>
      </c>
      <c r="B181" s="229" t="s">
        <v>884</v>
      </c>
      <c r="C181" s="83" t="s">
        <v>820</v>
      </c>
      <c r="D181" s="83">
        <v>5</v>
      </c>
      <c r="E181" s="83">
        <v>1.1</v>
      </c>
      <c r="F181" s="83">
        <v>2.8</v>
      </c>
      <c r="G181" s="84">
        <v>5.5</v>
      </c>
      <c r="H181" s="84"/>
      <c r="I181" s="84"/>
      <c r="J181" s="70" t="s">
        <v>334</v>
      </c>
      <c r="K181" s="232"/>
    </row>
    <row r="182" spans="1:11" s="71" customFormat="1" ht="63">
      <c r="A182" s="228">
        <v>129</v>
      </c>
      <c r="B182" s="229" t="s">
        <v>885</v>
      </c>
      <c r="C182" s="83" t="s">
        <v>886</v>
      </c>
      <c r="D182" s="83">
        <v>13</v>
      </c>
      <c r="E182" s="83">
        <v>3.25</v>
      </c>
      <c r="F182" s="83">
        <v>2.2</v>
      </c>
      <c r="G182" s="84">
        <f>D182*E182</f>
        <v>42.25</v>
      </c>
      <c r="H182" s="84"/>
      <c r="I182" s="84"/>
      <c r="J182" s="70" t="s">
        <v>887</v>
      </c>
      <c r="K182" s="232"/>
    </row>
    <row r="183" spans="1:11" s="71" customFormat="1" ht="15.75">
      <c r="A183" s="391" t="s">
        <v>939</v>
      </c>
      <c r="B183" s="394"/>
      <c r="C183" s="395"/>
      <c r="D183" s="215"/>
      <c r="E183" s="215"/>
      <c r="F183" s="215"/>
      <c r="G183" s="70"/>
      <c r="H183" s="70"/>
      <c r="I183" s="70"/>
      <c r="J183" s="70"/>
      <c r="K183" s="70"/>
    </row>
    <row r="184" spans="1:11" s="71" customFormat="1" ht="15.75">
      <c r="A184" s="396">
        <v>130</v>
      </c>
      <c r="B184" s="398" t="s">
        <v>912</v>
      </c>
      <c r="C184" s="83" t="s">
        <v>341</v>
      </c>
      <c r="D184" s="83">
        <v>3.7</v>
      </c>
      <c r="E184" s="83">
        <v>2.3</v>
      </c>
      <c r="F184" s="83"/>
      <c r="G184" s="84">
        <f>D184*E184</f>
        <v>8.51</v>
      </c>
      <c r="H184" s="84"/>
      <c r="I184" s="84"/>
      <c r="J184" s="70" t="s">
        <v>332</v>
      </c>
      <c r="K184" s="232"/>
    </row>
    <row r="185" spans="1:11" s="71" customFormat="1" ht="78.75">
      <c r="A185" s="397"/>
      <c r="B185" s="399"/>
      <c r="C185" s="83" t="s">
        <v>516</v>
      </c>
      <c r="D185" s="83">
        <v>11.3</v>
      </c>
      <c r="E185" s="83">
        <v>3.1</v>
      </c>
      <c r="F185" s="83">
        <v>2.8</v>
      </c>
      <c r="G185" s="84">
        <f>D185*E185-G184</f>
        <v>26.520000000000003</v>
      </c>
      <c r="H185" s="84"/>
      <c r="I185" s="84"/>
      <c r="J185" s="70" t="s">
        <v>332</v>
      </c>
      <c r="K185" s="232" t="s">
        <v>546</v>
      </c>
    </row>
    <row r="186" spans="1:11" s="71" customFormat="1" ht="78.75">
      <c r="A186" s="206">
        <v>131</v>
      </c>
      <c r="B186" s="201" t="s">
        <v>913</v>
      </c>
      <c r="C186" s="202" t="s">
        <v>880</v>
      </c>
      <c r="D186" s="202">
        <v>4</v>
      </c>
      <c r="E186" s="202">
        <v>1.5</v>
      </c>
      <c r="F186" s="202">
        <v>2.2</v>
      </c>
      <c r="G186" s="203">
        <f>D186*E186</f>
        <v>6</v>
      </c>
      <c r="H186" s="203"/>
      <c r="I186" s="203"/>
      <c r="J186" s="204" t="s">
        <v>875</v>
      </c>
      <c r="K186" s="205" t="s">
        <v>876</v>
      </c>
    </row>
    <row r="187" spans="1:11" s="71" customFormat="1" ht="77.25">
      <c r="A187" s="217">
        <v>132</v>
      </c>
      <c r="B187" s="218" t="s">
        <v>914</v>
      </c>
      <c r="C187" s="83" t="s">
        <v>702</v>
      </c>
      <c r="D187" s="83">
        <v>11.2</v>
      </c>
      <c r="E187" s="83">
        <v>3.6</v>
      </c>
      <c r="F187" s="83">
        <v>2.5</v>
      </c>
      <c r="G187" s="84">
        <f>D187*E187</f>
        <v>40.32</v>
      </c>
      <c r="H187" s="84"/>
      <c r="I187" s="84"/>
      <c r="J187" s="70" t="s">
        <v>332</v>
      </c>
      <c r="K187" s="232" t="s">
        <v>517</v>
      </c>
    </row>
    <row r="188" spans="1:11" s="71" customFormat="1" ht="47.25">
      <c r="A188" s="32">
        <v>133</v>
      </c>
      <c r="B188" s="201" t="s">
        <v>917</v>
      </c>
      <c r="C188" s="210" t="s">
        <v>548</v>
      </c>
      <c r="D188" s="210">
        <v>6</v>
      </c>
      <c r="E188" s="210">
        <v>1.4</v>
      </c>
      <c r="F188" s="210"/>
      <c r="G188" s="211">
        <f>D188*E188</f>
        <v>8.399999999999999</v>
      </c>
      <c r="H188" s="211"/>
      <c r="I188" s="211"/>
      <c r="J188" s="212" t="s">
        <v>875</v>
      </c>
      <c r="K188" s="144" t="s">
        <v>876</v>
      </c>
    </row>
    <row r="189" spans="1:11" s="71" customFormat="1" ht="47.25">
      <c r="A189" s="228">
        <v>134</v>
      </c>
      <c r="B189" s="229" t="s">
        <v>918</v>
      </c>
      <c r="C189" s="83" t="s">
        <v>518</v>
      </c>
      <c r="D189" s="83">
        <v>4.8</v>
      </c>
      <c r="E189" s="83">
        <v>2.05</v>
      </c>
      <c r="F189" s="83">
        <v>2.4</v>
      </c>
      <c r="G189" s="84">
        <f>D189*E189+2.05*0.4</f>
        <v>10.659999999999998</v>
      </c>
      <c r="H189" s="84"/>
      <c r="I189" s="84"/>
      <c r="J189" s="70" t="s">
        <v>332</v>
      </c>
      <c r="K189" s="232" t="s">
        <v>405</v>
      </c>
    </row>
    <row r="190" spans="1:11" s="71" customFormat="1" ht="63">
      <c r="A190" s="228">
        <v>135</v>
      </c>
      <c r="B190" s="229" t="s">
        <v>921</v>
      </c>
      <c r="C190" s="83" t="s">
        <v>715</v>
      </c>
      <c r="D190" s="83">
        <v>4.82</v>
      </c>
      <c r="E190" s="83">
        <v>1.66</v>
      </c>
      <c r="F190" s="83">
        <v>2.7</v>
      </c>
      <c r="G190" s="84">
        <f>D190*E190</f>
        <v>8.0012</v>
      </c>
      <c r="H190" s="84"/>
      <c r="I190" s="84"/>
      <c r="J190" s="70" t="s">
        <v>332</v>
      </c>
      <c r="K190" s="232" t="s">
        <v>409</v>
      </c>
    </row>
    <row r="191" spans="1:11" s="71" customFormat="1" ht="15.75">
      <c r="A191" s="391" t="s">
        <v>859</v>
      </c>
      <c r="B191" s="394"/>
      <c r="C191" s="395"/>
      <c r="D191" s="215"/>
      <c r="E191" s="215"/>
      <c r="F191" s="215"/>
      <c r="G191" s="70"/>
      <c r="H191" s="84"/>
      <c r="I191" s="70"/>
      <c r="J191" s="70"/>
      <c r="K191" s="70"/>
    </row>
    <row r="192" spans="1:11" s="126" customFormat="1" ht="67.5" customHeight="1">
      <c r="A192" s="122">
        <v>136</v>
      </c>
      <c r="B192" s="123" t="s">
        <v>188</v>
      </c>
      <c r="C192" s="226" t="s">
        <v>519</v>
      </c>
      <c r="D192" s="226">
        <v>6.1</v>
      </c>
      <c r="E192" s="226">
        <v>3.4</v>
      </c>
      <c r="F192" s="226">
        <v>2.35</v>
      </c>
      <c r="G192" s="124">
        <f>D192*E192</f>
        <v>20.74</v>
      </c>
      <c r="H192" s="124"/>
      <c r="I192" s="124"/>
      <c r="J192" s="125" t="s">
        <v>332</v>
      </c>
      <c r="K192" s="227" t="s">
        <v>446</v>
      </c>
    </row>
    <row r="193" spans="1:11" s="126" customFormat="1" ht="63">
      <c r="A193" s="127">
        <v>137</v>
      </c>
      <c r="B193" s="224" t="s">
        <v>190</v>
      </c>
      <c r="C193" s="226" t="s">
        <v>520</v>
      </c>
      <c r="D193" s="226">
        <v>5.75</v>
      </c>
      <c r="E193" s="226">
        <v>2.75</v>
      </c>
      <c r="F193" s="226">
        <v>2.1</v>
      </c>
      <c r="G193" s="124">
        <f>D193*E193</f>
        <v>15.8125</v>
      </c>
      <c r="H193" s="124"/>
      <c r="I193" s="124"/>
      <c r="J193" s="125" t="s">
        <v>332</v>
      </c>
      <c r="K193" s="227" t="s">
        <v>447</v>
      </c>
    </row>
    <row r="194" spans="1:11" s="71" customFormat="1" ht="64.5">
      <c r="A194" s="217">
        <v>138</v>
      </c>
      <c r="B194" s="218" t="s">
        <v>191</v>
      </c>
      <c r="C194" s="83" t="s">
        <v>549</v>
      </c>
      <c r="D194" s="83">
        <v>6.3</v>
      </c>
      <c r="E194" s="83">
        <v>3</v>
      </c>
      <c r="F194" s="83">
        <v>2.55</v>
      </c>
      <c r="G194" s="84">
        <f>D194*E194</f>
        <v>18.9</v>
      </c>
      <c r="H194" s="84"/>
      <c r="I194" s="84"/>
      <c r="J194" s="70" t="s">
        <v>334</v>
      </c>
      <c r="K194" s="232" t="s">
        <v>521</v>
      </c>
    </row>
    <row r="195" spans="1:11" s="126" customFormat="1" ht="67.5" customHeight="1">
      <c r="A195" s="122">
        <v>139</v>
      </c>
      <c r="B195" s="123" t="s">
        <v>192</v>
      </c>
      <c r="C195" s="226" t="s">
        <v>550</v>
      </c>
      <c r="D195" s="226">
        <v>6.55</v>
      </c>
      <c r="E195" s="226">
        <v>3</v>
      </c>
      <c r="F195" s="226">
        <v>2.58</v>
      </c>
      <c r="G195" s="124">
        <f>D195*E195</f>
        <v>19.65</v>
      </c>
      <c r="H195" s="124"/>
      <c r="I195" s="124"/>
      <c r="J195" s="125" t="s">
        <v>334</v>
      </c>
      <c r="K195" s="227" t="s">
        <v>343</v>
      </c>
    </row>
    <row r="196" spans="1:11" s="71" customFormat="1" ht="15.75">
      <c r="A196" s="391" t="s">
        <v>193</v>
      </c>
      <c r="B196" s="394"/>
      <c r="C196" s="395"/>
      <c r="D196" s="215"/>
      <c r="E196" s="215"/>
      <c r="F196" s="215"/>
      <c r="G196" s="70"/>
      <c r="H196" s="70"/>
      <c r="I196" s="70"/>
      <c r="J196" s="70"/>
      <c r="K196" s="70"/>
    </row>
    <row r="197" spans="1:11" s="71" customFormat="1" ht="63">
      <c r="A197" s="228">
        <v>140</v>
      </c>
      <c r="B197" s="229" t="s">
        <v>194</v>
      </c>
      <c r="C197" s="83" t="s">
        <v>522</v>
      </c>
      <c r="D197" s="83">
        <v>6.1</v>
      </c>
      <c r="E197" s="83">
        <v>2.5</v>
      </c>
      <c r="F197" s="83">
        <v>2.4</v>
      </c>
      <c r="G197" s="84">
        <f>D197*E197</f>
        <v>15.25</v>
      </c>
      <c r="H197" s="84"/>
      <c r="I197" s="84"/>
      <c r="J197" s="70" t="s">
        <v>332</v>
      </c>
      <c r="K197" s="232" t="s">
        <v>551</v>
      </c>
    </row>
    <row r="198" spans="1:11" s="71" customFormat="1" ht="15.75">
      <c r="A198" s="396">
        <v>141</v>
      </c>
      <c r="B198" s="398" t="s">
        <v>195</v>
      </c>
      <c r="C198" s="83" t="s">
        <v>341</v>
      </c>
      <c r="D198" s="83">
        <v>4.52</v>
      </c>
      <c r="E198" s="83">
        <v>2.5</v>
      </c>
      <c r="F198" s="83"/>
      <c r="G198" s="84">
        <f>D198*E198-1*0.97/2</f>
        <v>10.815</v>
      </c>
      <c r="H198" s="84"/>
      <c r="I198" s="84"/>
      <c r="J198" s="70" t="s">
        <v>332</v>
      </c>
      <c r="K198" s="232"/>
    </row>
    <row r="199" spans="1:11" s="71" customFormat="1" ht="78.75">
      <c r="A199" s="397"/>
      <c r="B199" s="399"/>
      <c r="C199" s="83" t="s">
        <v>523</v>
      </c>
      <c r="D199" s="83">
        <v>13.5</v>
      </c>
      <c r="E199" s="83">
        <v>3.5</v>
      </c>
      <c r="F199" s="83">
        <v>2.7</v>
      </c>
      <c r="G199" s="84">
        <f>D199*E199-G198</f>
        <v>36.435</v>
      </c>
      <c r="H199" s="84"/>
      <c r="I199" s="84"/>
      <c r="J199" s="70" t="s">
        <v>332</v>
      </c>
      <c r="K199" s="232" t="s">
        <v>524</v>
      </c>
    </row>
    <row r="200" spans="1:11" s="71" customFormat="1" ht="78.75">
      <c r="A200" s="217">
        <v>142</v>
      </c>
      <c r="B200" s="218" t="s">
        <v>196</v>
      </c>
      <c r="C200" s="83" t="s">
        <v>525</v>
      </c>
      <c r="D200" s="83">
        <v>6.4</v>
      </c>
      <c r="E200" s="83">
        <v>1.6</v>
      </c>
      <c r="F200" s="83">
        <v>2.5</v>
      </c>
      <c r="G200" s="84">
        <f>D200*E200</f>
        <v>10.240000000000002</v>
      </c>
      <c r="H200" s="84"/>
      <c r="I200" s="84"/>
      <c r="J200" s="70" t="s">
        <v>334</v>
      </c>
      <c r="K200" s="232" t="s">
        <v>343</v>
      </c>
    </row>
    <row r="201" spans="1:11" s="71" customFormat="1" ht="39">
      <c r="A201" s="228">
        <v>143</v>
      </c>
      <c r="B201" s="229" t="s">
        <v>197</v>
      </c>
      <c r="C201" s="83" t="s">
        <v>430</v>
      </c>
      <c r="D201" s="83">
        <v>6</v>
      </c>
      <c r="E201" s="83">
        <v>2</v>
      </c>
      <c r="F201" s="83"/>
      <c r="G201" s="84">
        <f>D201*E201</f>
        <v>12</v>
      </c>
      <c r="H201" s="84"/>
      <c r="I201" s="84"/>
      <c r="J201" s="70"/>
      <c r="K201" s="232" t="s">
        <v>431</v>
      </c>
    </row>
    <row r="202" spans="1:11" s="71" customFormat="1" ht="15.75">
      <c r="A202" s="391" t="s">
        <v>198</v>
      </c>
      <c r="B202" s="394"/>
      <c r="C202" s="395"/>
      <c r="D202" s="215"/>
      <c r="E202" s="215"/>
      <c r="F202" s="215"/>
      <c r="G202" s="70"/>
      <c r="H202" s="70"/>
      <c r="I202" s="70"/>
      <c r="J202" s="70"/>
      <c r="K202" s="70"/>
    </row>
    <row r="203" spans="1:11" s="126" customFormat="1" ht="47.25">
      <c r="A203" s="127">
        <v>144</v>
      </c>
      <c r="B203" s="224" t="s">
        <v>199</v>
      </c>
      <c r="C203" s="226" t="s">
        <v>560</v>
      </c>
      <c r="D203" s="226">
        <v>6</v>
      </c>
      <c r="E203" s="226">
        <v>2</v>
      </c>
      <c r="F203" s="226"/>
      <c r="G203" s="124">
        <f>D203*E203</f>
        <v>12</v>
      </c>
      <c r="H203" s="124"/>
      <c r="I203" s="124"/>
      <c r="J203" s="125" t="s">
        <v>332</v>
      </c>
      <c r="K203" s="227" t="s">
        <v>429</v>
      </c>
    </row>
    <row r="204" spans="1:11" s="71" customFormat="1" ht="63">
      <c r="A204" s="217">
        <v>145</v>
      </c>
      <c r="B204" s="218" t="s">
        <v>200</v>
      </c>
      <c r="C204" s="83" t="s">
        <v>552</v>
      </c>
      <c r="D204" s="83">
        <v>11.1</v>
      </c>
      <c r="E204" s="83">
        <v>3.6</v>
      </c>
      <c r="F204" s="83">
        <v>2.55</v>
      </c>
      <c r="G204" s="84">
        <f>D204*E204</f>
        <v>39.96</v>
      </c>
      <c r="H204" s="84"/>
      <c r="I204" s="84"/>
      <c r="J204" s="70" t="s">
        <v>332</v>
      </c>
      <c r="K204" s="232" t="s">
        <v>526</v>
      </c>
    </row>
    <row r="205" spans="1:11" s="71" customFormat="1" ht="15.75">
      <c r="A205" s="391" t="s">
        <v>201</v>
      </c>
      <c r="B205" s="394"/>
      <c r="C205" s="395"/>
      <c r="D205" s="215"/>
      <c r="E205" s="215"/>
      <c r="F205" s="215"/>
      <c r="G205" s="70"/>
      <c r="H205" s="70"/>
      <c r="I205" s="70"/>
      <c r="J205" s="70"/>
      <c r="K205" s="70"/>
    </row>
    <row r="206" spans="1:11" s="71" customFormat="1" ht="63">
      <c r="A206" s="228">
        <v>146</v>
      </c>
      <c r="B206" s="229" t="s">
        <v>648</v>
      </c>
      <c r="C206" s="83" t="s">
        <v>649</v>
      </c>
      <c r="D206" s="83">
        <v>4.05</v>
      </c>
      <c r="E206" s="83">
        <v>2.1</v>
      </c>
      <c r="F206" s="83">
        <v>2.15</v>
      </c>
      <c r="G206" s="84">
        <f>D206*E206</f>
        <v>8.505</v>
      </c>
      <c r="H206" s="84"/>
      <c r="I206" s="84"/>
      <c r="J206" s="70" t="s">
        <v>332</v>
      </c>
      <c r="K206" s="232" t="s">
        <v>650</v>
      </c>
    </row>
    <row r="207" spans="1:11" s="71" customFormat="1" ht="51.75">
      <c r="A207" s="228">
        <v>147</v>
      </c>
      <c r="B207" s="229" t="s">
        <v>203</v>
      </c>
      <c r="C207" s="83" t="s">
        <v>651</v>
      </c>
      <c r="D207" s="83">
        <v>9</v>
      </c>
      <c r="E207" s="83">
        <v>4</v>
      </c>
      <c r="F207" s="83">
        <v>2.75</v>
      </c>
      <c r="G207" s="84">
        <f>D207*E207</f>
        <v>36</v>
      </c>
      <c r="H207" s="84"/>
      <c r="I207" s="84"/>
      <c r="J207" s="70" t="s">
        <v>332</v>
      </c>
      <c r="K207" s="232" t="s">
        <v>652</v>
      </c>
    </row>
    <row r="208" spans="1:11" s="71" customFormat="1" ht="15.75">
      <c r="A208" s="391" t="s">
        <v>321</v>
      </c>
      <c r="B208" s="394"/>
      <c r="C208" s="395"/>
      <c r="D208" s="215"/>
      <c r="E208" s="215"/>
      <c r="F208" s="215"/>
      <c r="G208" s="70"/>
      <c r="H208" s="70"/>
      <c r="I208" s="70"/>
      <c r="J208" s="70"/>
      <c r="K208" s="70"/>
    </row>
    <row r="209" spans="1:11" s="71" customFormat="1" ht="63">
      <c r="A209" s="228">
        <v>148</v>
      </c>
      <c r="B209" s="229" t="s">
        <v>207</v>
      </c>
      <c r="C209" s="83" t="s">
        <v>697</v>
      </c>
      <c r="D209" s="83">
        <v>12.1</v>
      </c>
      <c r="E209" s="83">
        <v>5.5</v>
      </c>
      <c r="F209" s="83">
        <v>2.2</v>
      </c>
      <c r="G209" s="84">
        <f>D209*E209</f>
        <v>66.55</v>
      </c>
      <c r="H209" s="84"/>
      <c r="I209" s="84"/>
      <c r="J209" s="70" t="s">
        <v>334</v>
      </c>
      <c r="K209" s="232" t="s">
        <v>698</v>
      </c>
    </row>
    <row r="210" spans="1:11" s="71" customFormat="1" ht="51.75">
      <c r="A210" s="228">
        <v>149</v>
      </c>
      <c r="B210" s="229" t="s">
        <v>208</v>
      </c>
      <c r="C210" s="83" t="s">
        <v>693</v>
      </c>
      <c r="D210" s="83">
        <v>18.2</v>
      </c>
      <c r="E210" s="83">
        <v>2.5</v>
      </c>
      <c r="F210" s="83"/>
      <c r="G210" s="84">
        <f>D210*E210</f>
        <v>45.5</v>
      </c>
      <c r="H210" s="84"/>
      <c r="I210" s="84"/>
      <c r="J210" s="70" t="s">
        <v>332</v>
      </c>
      <c r="K210" s="232" t="s">
        <v>694</v>
      </c>
    </row>
    <row r="211" spans="1:11" s="71" customFormat="1" ht="15.75">
      <c r="A211" s="396">
        <v>150</v>
      </c>
      <c r="B211" s="398" t="s">
        <v>209</v>
      </c>
      <c r="C211" s="83" t="s">
        <v>688</v>
      </c>
      <c r="D211" s="83">
        <v>3.55</v>
      </c>
      <c r="E211" s="83">
        <v>2</v>
      </c>
      <c r="F211" s="83"/>
      <c r="G211" s="84">
        <f>D211*E211</f>
        <v>7.1</v>
      </c>
      <c r="H211" s="84"/>
      <c r="I211" s="84"/>
      <c r="J211" s="70"/>
      <c r="K211" s="70"/>
    </row>
    <row r="212" spans="1:11" s="71" customFormat="1" ht="78.75">
      <c r="A212" s="397"/>
      <c r="B212" s="399"/>
      <c r="C212" s="83" t="s">
        <v>691</v>
      </c>
      <c r="D212" s="83">
        <v>74.5</v>
      </c>
      <c r="E212" s="83">
        <v>3.7</v>
      </c>
      <c r="F212" s="83">
        <v>2.6</v>
      </c>
      <c r="G212" s="84">
        <f>D212*E212-G210</f>
        <v>230.15000000000003</v>
      </c>
      <c r="H212" s="84"/>
      <c r="I212" s="84"/>
      <c r="J212" s="70" t="s">
        <v>332</v>
      </c>
      <c r="K212" s="232" t="s">
        <v>692</v>
      </c>
    </row>
    <row r="213" spans="1:11" s="71" customFormat="1" ht="15.75">
      <c r="A213" s="396">
        <v>151</v>
      </c>
      <c r="B213" s="398" t="s">
        <v>687</v>
      </c>
      <c r="C213" s="83" t="s">
        <v>688</v>
      </c>
      <c r="D213" s="83">
        <v>5.2</v>
      </c>
      <c r="E213" s="83">
        <v>3.35</v>
      </c>
      <c r="F213" s="83"/>
      <c r="G213" s="84">
        <f>D213*E213</f>
        <v>17.42</v>
      </c>
      <c r="H213" s="84"/>
      <c r="I213" s="84"/>
      <c r="J213" s="70"/>
      <c r="K213" s="70"/>
    </row>
    <row r="214" spans="1:11" s="71" customFormat="1" ht="63">
      <c r="A214" s="397"/>
      <c r="B214" s="399"/>
      <c r="C214" s="83" t="s">
        <v>689</v>
      </c>
      <c r="D214" s="83">
        <v>57.4</v>
      </c>
      <c r="E214" s="83">
        <v>4.6</v>
      </c>
      <c r="F214" s="83">
        <v>3.6</v>
      </c>
      <c r="G214" s="84">
        <f>D214*E214-G213</f>
        <v>246.61999999999995</v>
      </c>
      <c r="H214" s="84"/>
      <c r="I214" s="84"/>
      <c r="J214" s="70" t="s">
        <v>332</v>
      </c>
      <c r="K214" s="232" t="s">
        <v>690</v>
      </c>
    </row>
    <row r="215" spans="1:11" s="71" customFormat="1" ht="15.75">
      <c r="A215" s="396">
        <v>152</v>
      </c>
      <c r="B215" s="398" t="s">
        <v>210</v>
      </c>
      <c r="C215" s="83" t="s">
        <v>685</v>
      </c>
      <c r="D215" s="83">
        <v>7.5</v>
      </c>
      <c r="E215" s="83">
        <v>3.35</v>
      </c>
      <c r="F215" s="83"/>
      <c r="G215" s="84">
        <f>D215*E215+4*3.35*2</f>
        <v>51.925</v>
      </c>
      <c r="H215" s="84"/>
      <c r="I215" s="84"/>
      <c r="J215" s="70"/>
      <c r="K215" s="70"/>
    </row>
    <row r="216" spans="1:11" s="71" customFormat="1" ht="63">
      <c r="A216" s="397"/>
      <c r="B216" s="399"/>
      <c r="C216" s="83" t="s">
        <v>686</v>
      </c>
      <c r="D216" s="83">
        <v>93</v>
      </c>
      <c r="E216" s="83">
        <v>4.6</v>
      </c>
      <c r="F216" s="83">
        <v>3.6</v>
      </c>
      <c r="G216" s="84">
        <f>D216*E216-G215</f>
        <v>375.87499999999994</v>
      </c>
      <c r="H216" s="84"/>
      <c r="I216" s="84"/>
      <c r="J216" s="70" t="s">
        <v>332</v>
      </c>
      <c r="K216" s="232" t="s">
        <v>634</v>
      </c>
    </row>
    <row r="217" spans="1:11" s="71" customFormat="1" ht="47.25">
      <c r="A217" s="228">
        <v>153</v>
      </c>
      <c r="B217" s="229" t="s">
        <v>683</v>
      </c>
      <c r="C217" s="83" t="s">
        <v>684</v>
      </c>
      <c r="D217" s="83">
        <v>25.7</v>
      </c>
      <c r="E217" s="83">
        <v>3.8</v>
      </c>
      <c r="F217" s="83"/>
      <c r="G217" s="84">
        <f>D217*E217</f>
        <v>97.66</v>
      </c>
      <c r="H217" s="84"/>
      <c r="I217" s="84"/>
      <c r="J217" s="70" t="s">
        <v>332</v>
      </c>
      <c r="K217" s="232" t="s">
        <v>532</v>
      </c>
    </row>
    <row r="218" spans="1:11" s="71" customFormat="1" ht="63">
      <c r="A218" s="228">
        <v>154</v>
      </c>
      <c r="B218" s="229" t="s">
        <v>680</v>
      </c>
      <c r="C218" s="83" t="s">
        <v>681</v>
      </c>
      <c r="D218" s="83">
        <v>5.5</v>
      </c>
      <c r="E218" s="83">
        <v>3.4</v>
      </c>
      <c r="F218" s="83">
        <v>2.3</v>
      </c>
      <c r="G218" s="84">
        <f>D218*E218</f>
        <v>18.7</v>
      </c>
      <c r="H218" s="84"/>
      <c r="I218" s="84"/>
      <c r="J218" s="70" t="s">
        <v>332</v>
      </c>
      <c r="K218" s="232" t="s">
        <v>682</v>
      </c>
    </row>
    <row r="219" spans="1:11" s="71" customFormat="1" ht="39">
      <c r="A219" s="228">
        <v>155</v>
      </c>
      <c r="B219" s="229" t="s">
        <v>825</v>
      </c>
      <c r="C219" s="83" t="s">
        <v>826</v>
      </c>
      <c r="D219" s="83">
        <v>12</v>
      </c>
      <c r="E219" s="83">
        <v>1.5</v>
      </c>
      <c r="F219" s="83"/>
      <c r="G219" s="84">
        <f>D219*E219</f>
        <v>18</v>
      </c>
      <c r="H219" s="84"/>
      <c r="I219" s="84"/>
      <c r="J219" s="70" t="s">
        <v>332</v>
      </c>
      <c r="K219" s="232" t="s">
        <v>823</v>
      </c>
    </row>
    <row r="220" spans="1:11" s="71" customFormat="1" ht="39">
      <c r="A220" s="228">
        <v>156</v>
      </c>
      <c r="B220" s="229" t="s">
        <v>213</v>
      </c>
      <c r="C220" s="83" t="s">
        <v>822</v>
      </c>
      <c r="D220" s="83">
        <v>6</v>
      </c>
      <c r="E220" s="83">
        <v>1.2</v>
      </c>
      <c r="F220" s="83"/>
      <c r="G220" s="84">
        <f>D220*E220</f>
        <v>7.199999999999999</v>
      </c>
      <c r="H220" s="84"/>
      <c r="I220" s="84"/>
      <c r="J220" s="70" t="s">
        <v>332</v>
      </c>
      <c r="K220" s="232" t="s">
        <v>823</v>
      </c>
    </row>
    <row r="221" spans="1:11" s="71" customFormat="1" ht="39">
      <c r="A221" s="228">
        <v>157</v>
      </c>
      <c r="B221" s="229" t="s">
        <v>214</v>
      </c>
      <c r="C221" s="83" t="s">
        <v>821</v>
      </c>
      <c r="D221" s="83">
        <v>5.5</v>
      </c>
      <c r="E221" s="83">
        <v>1.2</v>
      </c>
      <c r="F221" s="83"/>
      <c r="G221" s="84">
        <f>D221*E221</f>
        <v>6.6</v>
      </c>
      <c r="H221" s="84"/>
      <c r="I221" s="84"/>
      <c r="J221" s="70" t="s">
        <v>332</v>
      </c>
      <c r="K221" s="232" t="s">
        <v>824</v>
      </c>
    </row>
    <row r="222" spans="1:11" s="71" customFormat="1" ht="15.75">
      <c r="A222" s="391" t="s">
        <v>938</v>
      </c>
      <c r="B222" s="394"/>
      <c r="C222" s="395"/>
      <c r="D222" s="215"/>
      <c r="E222" s="215"/>
      <c r="F222" s="215"/>
      <c r="G222" s="70"/>
      <c r="H222" s="70"/>
      <c r="I222" s="70"/>
      <c r="J222" s="70"/>
      <c r="K222" s="70"/>
    </row>
    <row r="223" spans="1:11" s="126" customFormat="1" ht="38.25">
      <c r="A223" s="127">
        <v>158</v>
      </c>
      <c r="B223" s="224" t="s">
        <v>216</v>
      </c>
      <c r="C223" s="226" t="s">
        <v>378</v>
      </c>
      <c r="D223" s="226">
        <v>6.3</v>
      </c>
      <c r="E223" s="226">
        <v>1.15</v>
      </c>
      <c r="F223" s="226"/>
      <c r="G223" s="124">
        <f>D223*E223</f>
        <v>7.244999999999999</v>
      </c>
      <c r="H223" s="124"/>
      <c r="I223" s="124"/>
      <c r="J223" s="125"/>
      <c r="K223" s="227" t="s">
        <v>379</v>
      </c>
    </row>
    <row r="224" spans="1:11" s="71" customFormat="1" ht="63">
      <c r="A224" s="217">
        <v>159</v>
      </c>
      <c r="B224" s="218" t="s">
        <v>553</v>
      </c>
      <c r="C224" s="83" t="s">
        <v>527</v>
      </c>
      <c r="D224" s="83">
        <v>6.25</v>
      </c>
      <c r="E224" s="83">
        <v>1.15</v>
      </c>
      <c r="F224" s="83">
        <v>2.58</v>
      </c>
      <c r="G224" s="84">
        <f>D224*E224+3.52*0.45</f>
        <v>8.7715</v>
      </c>
      <c r="H224" s="84"/>
      <c r="I224" s="84"/>
      <c r="J224" s="70" t="s">
        <v>332</v>
      </c>
      <c r="K224" s="232" t="s">
        <v>554</v>
      </c>
    </row>
    <row r="225" spans="1:11" s="71" customFormat="1" ht="15.75">
      <c r="A225" s="228">
        <v>160</v>
      </c>
      <c r="B225" s="229" t="s">
        <v>217</v>
      </c>
      <c r="C225" s="83" t="s">
        <v>377</v>
      </c>
      <c r="D225" s="83"/>
      <c r="E225" s="83"/>
      <c r="F225" s="83"/>
      <c r="G225" s="70"/>
      <c r="H225" s="70"/>
      <c r="I225" s="70"/>
      <c r="J225" s="70"/>
      <c r="K225" s="70" t="s">
        <v>356</v>
      </c>
    </row>
    <row r="226" spans="1:11" s="71" customFormat="1" ht="15.75">
      <c r="A226" s="391" t="s">
        <v>219</v>
      </c>
      <c r="B226" s="394"/>
      <c r="C226" s="395"/>
      <c r="D226" s="215"/>
      <c r="E226" s="215"/>
      <c r="F226" s="215"/>
      <c r="G226" s="70"/>
      <c r="H226" s="70"/>
      <c r="I226" s="70"/>
      <c r="J226" s="70"/>
      <c r="K226" s="70"/>
    </row>
    <row r="227" spans="1:11" s="71" customFormat="1" ht="47.25">
      <c r="A227" s="228">
        <v>161</v>
      </c>
      <c r="B227" s="229" t="s">
        <v>398</v>
      </c>
      <c r="C227" s="83" t="s">
        <v>528</v>
      </c>
      <c r="D227" s="83">
        <v>5.41</v>
      </c>
      <c r="E227" s="83">
        <v>2.85</v>
      </c>
      <c r="F227" s="83">
        <v>2.6</v>
      </c>
      <c r="G227" s="84">
        <f>D227*E227</f>
        <v>15.418500000000002</v>
      </c>
      <c r="H227" s="84"/>
      <c r="I227" s="84"/>
      <c r="J227" s="70" t="s">
        <v>363</v>
      </c>
      <c r="K227" s="232" t="s">
        <v>399</v>
      </c>
    </row>
    <row r="228" spans="1:11" s="71" customFormat="1" ht="47.25">
      <c r="A228" s="228">
        <v>162</v>
      </c>
      <c r="B228" s="229" t="s">
        <v>395</v>
      </c>
      <c r="C228" s="83" t="s">
        <v>555</v>
      </c>
      <c r="D228" s="83">
        <v>4.83</v>
      </c>
      <c r="E228" s="83">
        <v>2.8</v>
      </c>
      <c r="F228" s="83">
        <v>2.6</v>
      </c>
      <c r="G228" s="84">
        <f>D228*E228+9.8*2.5+1.4*2.05*2</f>
        <v>43.764</v>
      </c>
      <c r="H228" s="84"/>
      <c r="I228" s="84"/>
      <c r="J228" s="70" t="s">
        <v>332</v>
      </c>
      <c r="K228" s="232" t="s">
        <v>396</v>
      </c>
    </row>
    <row r="229" spans="1:11" s="126" customFormat="1" ht="39" thickBot="1">
      <c r="A229" s="127">
        <v>163</v>
      </c>
      <c r="B229" s="224" t="s">
        <v>225</v>
      </c>
      <c r="C229" s="135" t="s">
        <v>393</v>
      </c>
      <c r="D229" s="135">
        <v>6</v>
      </c>
      <c r="E229" s="135">
        <v>1.45</v>
      </c>
      <c r="F229" s="135"/>
      <c r="G229" s="136">
        <f aca="true" t="shared" si="2" ref="G229:G234">D229*E229</f>
        <v>8.7</v>
      </c>
      <c r="H229" s="136"/>
      <c r="I229" s="136"/>
      <c r="J229" s="137" t="s">
        <v>352</v>
      </c>
      <c r="K229" s="181" t="s">
        <v>388</v>
      </c>
    </row>
    <row r="230" spans="1:11" s="126" customFormat="1" ht="76.5">
      <c r="A230" s="127">
        <v>164</v>
      </c>
      <c r="B230" s="224" t="s">
        <v>391</v>
      </c>
      <c r="C230" s="226" t="s">
        <v>556</v>
      </c>
      <c r="D230" s="226">
        <v>6.3</v>
      </c>
      <c r="E230" s="226">
        <v>3.4</v>
      </c>
      <c r="F230" s="226">
        <v>2.75</v>
      </c>
      <c r="G230" s="124">
        <f t="shared" si="2"/>
        <v>21.419999999999998</v>
      </c>
      <c r="H230" s="124"/>
      <c r="I230" s="124"/>
      <c r="J230" s="125" t="s">
        <v>352</v>
      </c>
      <c r="K230" s="227" t="s">
        <v>392</v>
      </c>
    </row>
    <row r="231" spans="1:11" s="71" customFormat="1" ht="64.5">
      <c r="A231" s="228">
        <v>165</v>
      </c>
      <c r="B231" s="229" t="s">
        <v>385</v>
      </c>
      <c r="C231" s="83" t="s">
        <v>529</v>
      </c>
      <c r="D231" s="83">
        <v>5.85</v>
      </c>
      <c r="E231" s="83">
        <v>2.25</v>
      </c>
      <c r="F231" s="83">
        <v>2.5</v>
      </c>
      <c r="G231" s="84">
        <f t="shared" si="2"/>
        <v>13.1625</v>
      </c>
      <c r="H231" s="84"/>
      <c r="I231" s="84"/>
      <c r="J231" s="70" t="s">
        <v>332</v>
      </c>
      <c r="K231" s="232" t="s">
        <v>530</v>
      </c>
    </row>
    <row r="232" spans="1:11" s="126" customFormat="1" ht="39" thickBot="1">
      <c r="A232" s="141">
        <v>166</v>
      </c>
      <c r="B232" s="142" t="s">
        <v>386</v>
      </c>
      <c r="C232" s="135" t="s">
        <v>387</v>
      </c>
      <c r="D232" s="135">
        <v>10.2</v>
      </c>
      <c r="E232" s="135">
        <v>1.45</v>
      </c>
      <c r="F232" s="135"/>
      <c r="G232" s="136">
        <f t="shared" si="2"/>
        <v>14.79</v>
      </c>
      <c r="H232" s="136"/>
      <c r="I232" s="136"/>
      <c r="J232" s="137" t="s">
        <v>352</v>
      </c>
      <c r="K232" s="181" t="s">
        <v>388</v>
      </c>
    </row>
    <row r="233" spans="1:11" s="71" customFormat="1" ht="64.5">
      <c r="A233" s="228">
        <v>167</v>
      </c>
      <c r="B233" s="229" t="s">
        <v>808</v>
      </c>
      <c r="C233" s="83" t="s">
        <v>565</v>
      </c>
      <c r="D233" s="83">
        <v>3.08</v>
      </c>
      <c r="E233" s="83">
        <v>3.16</v>
      </c>
      <c r="F233" s="83">
        <v>2.75</v>
      </c>
      <c r="G233" s="84">
        <f t="shared" si="2"/>
        <v>9.732800000000001</v>
      </c>
      <c r="H233" s="84"/>
      <c r="I233" s="84"/>
      <c r="J233" s="70" t="s">
        <v>332</v>
      </c>
      <c r="K233" s="232" t="s">
        <v>557</v>
      </c>
    </row>
    <row r="234" spans="1:11" s="71" customFormat="1" ht="64.5">
      <c r="A234" s="228">
        <v>168</v>
      </c>
      <c r="B234" s="229" t="s">
        <v>320</v>
      </c>
      <c r="C234" s="83" t="s">
        <v>566</v>
      </c>
      <c r="D234" s="83">
        <v>4.63</v>
      </c>
      <c r="E234" s="83">
        <v>2.36</v>
      </c>
      <c r="F234" s="83">
        <v>2.73</v>
      </c>
      <c r="G234" s="84">
        <f t="shared" si="2"/>
        <v>10.926799999999998</v>
      </c>
      <c r="H234" s="84"/>
      <c r="I234" s="84"/>
      <c r="J234" s="70" t="s">
        <v>332</v>
      </c>
      <c r="K234" s="232" t="s">
        <v>558</v>
      </c>
    </row>
    <row r="235" spans="1:11" s="71" customFormat="1" ht="16.5" customHeight="1">
      <c r="A235" s="430" t="s">
        <v>940</v>
      </c>
      <c r="B235" s="438"/>
      <c r="C235" s="404"/>
      <c r="D235" s="138"/>
      <c r="E235" s="138"/>
      <c r="F235" s="138"/>
      <c r="G235" s="70"/>
      <c r="H235" s="70"/>
      <c r="I235" s="70"/>
      <c r="J235" s="70"/>
      <c r="K235" s="70"/>
    </row>
    <row r="236" spans="1:11" s="126" customFormat="1" ht="63.75">
      <c r="A236" s="127">
        <v>169</v>
      </c>
      <c r="B236" s="224" t="s">
        <v>114</v>
      </c>
      <c r="C236" s="226" t="s">
        <v>484</v>
      </c>
      <c r="D236" s="226">
        <v>3</v>
      </c>
      <c r="E236" s="226">
        <v>2</v>
      </c>
      <c r="F236" s="226">
        <v>2.4</v>
      </c>
      <c r="G236" s="124">
        <f>D236*E236</f>
        <v>6</v>
      </c>
      <c r="H236" s="124"/>
      <c r="I236" s="124"/>
      <c r="J236" s="125" t="s">
        <v>465</v>
      </c>
      <c r="K236" s="227" t="s">
        <v>485</v>
      </c>
    </row>
    <row r="237" spans="1:11" s="126" customFormat="1" ht="78.75">
      <c r="A237" s="127">
        <v>170</v>
      </c>
      <c r="B237" s="224" t="s">
        <v>115</v>
      </c>
      <c r="C237" s="226" t="s">
        <v>475</v>
      </c>
      <c r="D237" s="226">
        <v>12.5</v>
      </c>
      <c r="E237" s="226">
        <v>3.15</v>
      </c>
      <c r="F237" s="226">
        <v>2.4</v>
      </c>
      <c r="G237" s="124">
        <f>D237*E237</f>
        <v>39.375</v>
      </c>
      <c r="H237" s="124"/>
      <c r="I237" s="124"/>
      <c r="J237" s="125" t="s">
        <v>465</v>
      </c>
      <c r="K237" s="227" t="s">
        <v>476</v>
      </c>
    </row>
    <row r="238" spans="1:11" s="126" customFormat="1" ht="63">
      <c r="A238" s="127">
        <v>171</v>
      </c>
      <c r="B238" s="224" t="s">
        <v>116</v>
      </c>
      <c r="C238" s="226" t="s">
        <v>559</v>
      </c>
      <c r="D238" s="226">
        <v>5.5</v>
      </c>
      <c r="E238" s="226">
        <v>7.8</v>
      </c>
      <c r="F238" s="226">
        <v>3.25</v>
      </c>
      <c r="G238" s="124">
        <f>D238*E238</f>
        <v>42.9</v>
      </c>
      <c r="H238" s="124"/>
      <c r="I238" s="124"/>
      <c r="J238" s="125" t="s">
        <v>465</v>
      </c>
      <c r="K238" s="227" t="s">
        <v>483</v>
      </c>
    </row>
    <row r="239" spans="1:11" s="71" customFormat="1" ht="78.75">
      <c r="A239" s="228">
        <v>172</v>
      </c>
      <c r="B239" s="229" t="s">
        <v>118</v>
      </c>
      <c r="C239" s="83" t="s">
        <v>481</v>
      </c>
      <c r="D239" s="83">
        <v>6</v>
      </c>
      <c r="E239" s="83">
        <v>2.3</v>
      </c>
      <c r="F239" s="83">
        <v>2.45</v>
      </c>
      <c r="G239" s="84">
        <f>D239*E239+1.4*3.95</f>
        <v>19.33</v>
      </c>
      <c r="H239" s="84"/>
      <c r="I239" s="84"/>
      <c r="J239" s="70" t="s">
        <v>332</v>
      </c>
      <c r="K239" s="232" t="s">
        <v>482</v>
      </c>
    </row>
    <row r="240" spans="1:11" s="126" customFormat="1" ht="78.75">
      <c r="A240" s="127">
        <v>173</v>
      </c>
      <c r="B240" s="224" t="s">
        <v>120</v>
      </c>
      <c r="C240" s="226" t="s">
        <v>479</v>
      </c>
      <c r="D240" s="226">
        <v>4.9</v>
      </c>
      <c r="E240" s="226">
        <v>2.9</v>
      </c>
      <c r="F240" s="226">
        <v>2.5</v>
      </c>
      <c r="G240" s="124">
        <f>D240*E240</f>
        <v>14.21</v>
      </c>
      <c r="H240" s="124"/>
      <c r="I240" s="124"/>
      <c r="J240" s="125" t="s">
        <v>465</v>
      </c>
      <c r="K240" s="227" t="s">
        <v>480</v>
      </c>
    </row>
    <row r="241" spans="1:11" s="126" customFormat="1" ht="78.75">
      <c r="A241" s="127">
        <v>174</v>
      </c>
      <c r="B241" s="224" t="s">
        <v>121</v>
      </c>
      <c r="C241" s="226" t="s">
        <v>477</v>
      </c>
      <c r="D241" s="226">
        <v>6</v>
      </c>
      <c r="E241" s="226">
        <v>3.2</v>
      </c>
      <c r="F241" s="226">
        <v>2.75</v>
      </c>
      <c r="G241" s="124">
        <f>D241*E241</f>
        <v>19.200000000000003</v>
      </c>
      <c r="H241" s="124"/>
      <c r="I241" s="124"/>
      <c r="J241" s="125" t="s">
        <v>332</v>
      </c>
      <c r="K241" s="227" t="s">
        <v>478</v>
      </c>
    </row>
    <row r="242" spans="1:11" s="186" customFormat="1" ht="15.75">
      <c r="A242" s="432" t="s">
        <v>928</v>
      </c>
      <c r="B242" s="433"/>
      <c r="C242" s="434"/>
      <c r="D242" s="221"/>
      <c r="E242" s="221"/>
      <c r="F242" s="221"/>
      <c r="G242" s="184"/>
      <c r="H242" s="184"/>
      <c r="I242" s="184"/>
      <c r="J242" s="184"/>
      <c r="K242" s="184"/>
    </row>
    <row r="243" spans="1:11" s="71" customFormat="1" ht="78.75">
      <c r="A243" s="116">
        <v>175</v>
      </c>
      <c r="B243" s="218" t="s">
        <v>829</v>
      </c>
      <c r="C243" s="83" t="s">
        <v>828</v>
      </c>
      <c r="D243" s="83">
        <v>7.9</v>
      </c>
      <c r="E243" s="83">
        <v>2.45</v>
      </c>
      <c r="F243" s="83">
        <v>2.6</v>
      </c>
      <c r="G243" s="84">
        <f>D243*E243</f>
        <v>19.355000000000004</v>
      </c>
      <c r="H243" s="84"/>
      <c r="I243" s="84"/>
      <c r="J243" s="70" t="s">
        <v>334</v>
      </c>
      <c r="K243" s="70"/>
    </row>
    <row r="244" spans="1:11" s="71" customFormat="1" ht="127.5" customHeight="1">
      <c r="A244" s="116">
        <v>176</v>
      </c>
      <c r="B244" s="218" t="s">
        <v>830</v>
      </c>
      <c r="C244" s="83" t="s">
        <v>831</v>
      </c>
      <c r="D244" s="83">
        <v>10.95</v>
      </c>
      <c r="E244" s="83">
        <v>3</v>
      </c>
      <c r="F244" s="83">
        <v>2.6</v>
      </c>
      <c r="G244" s="84">
        <f>D244*E244</f>
        <v>32.849999999999994</v>
      </c>
      <c r="H244" s="84"/>
      <c r="I244" s="84"/>
      <c r="J244" s="70" t="s">
        <v>334</v>
      </c>
      <c r="K244" s="70"/>
    </row>
    <row r="245" spans="1:11" s="37" customFormat="1" ht="15.75">
      <c r="A245" s="435" t="s">
        <v>929</v>
      </c>
      <c r="B245" s="436"/>
      <c r="C245" s="437"/>
      <c r="D245" s="222"/>
      <c r="E245" s="222"/>
      <c r="F245" s="222"/>
      <c r="G245" s="36"/>
      <c r="H245" s="36"/>
      <c r="I245" s="36"/>
      <c r="J245" s="36"/>
      <c r="K245" s="36"/>
    </row>
    <row r="246" spans="1:11" s="71" customFormat="1" ht="63">
      <c r="A246" s="101">
        <v>177</v>
      </c>
      <c r="B246" s="229" t="s">
        <v>256</v>
      </c>
      <c r="C246" s="83" t="s">
        <v>842</v>
      </c>
      <c r="D246" s="83">
        <v>8.05</v>
      </c>
      <c r="E246" s="83">
        <v>3</v>
      </c>
      <c r="F246" s="83">
        <v>2.6</v>
      </c>
      <c r="G246" s="84">
        <f>D246*E246+0.6*1.2*2+1.2*0.9*2</f>
        <v>27.750000000000004</v>
      </c>
      <c r="H246" s="84"/>
      <c r="I246" s="84"/>
      <c r="J246" s="70" t="s">
        <v>334</v>
      </c>
      <c r="K246" s="232" t="s">
        <v>841</v>
      </c>
    </row>
    <row r="247" spans="1:11" s="71" customFormat="1" ht="63">
      <c r="A247" s="101">
        <v>178</v>
      </c>
      <c r="B247" s="229" t="s">
        <v>257</v>
      </c>
      <c r="C247" s="83" t="s">
        <v>843</v>
      </c>
      <c r="D247" s="83">
        <v>6.5</v>
      </c>
      <c r="E247" s="83">
        <v>2.5</v>
      </c>
      <c r="F247" s="83">
        <v>2.6</v>
      </c>
      <c r="G247" s="84">
        <f>D247*E247</f>
        <v>16.25</v>
      </c>
      <c r="H247" s="84"/>
      <c r="I247" s="84"/>
      <c r="J247" s="70" t="s">
        <v>334</v>
      </c>
      <c r="K247" s="232" t="s">
        <v>801</v>
      </c>
    </row>
    <row r="248" spans="1:11" s="71" customFormat="1" ht="16.5" customHeight="1">
      <c r="A248" s="71">
        <v>179</v>
      </c>
      <c r="B248" s="430" t="s">
        <v>930</v>
      </c>
      <c r="C248" s="431"/>
      <c r="D248" s="138"/>
      <c r="E248" s="138"/>
      <c r="F248" s="138"/>
      <c r="G248" s="70">
        <v>18</v>
      </c>
      <c r="H248" s="70"/>
      <c r="I248" s="70"/>
      <c r="J248" s="70"/>
      <c r="K248" s="70"/>
    </row>
    <row r="249" spans="1:11" s="71" customFormat="1" ht="16.5" customHeight="1">
      <c r="A249" s="71">
        <v>180</v>
      </c>
      <c r="B249" s="430" t="s">
        <v>931</v>
      </c>
      <c r="C249" s="431"/>
      <c r="D249" s="138"/>
      <c r="E249" s="138"/>
      <c r="F249" s="138"/>
      <c r="G249" s="70">
        <v>18</v>
      </c>
      <c r="H249" s="70"/>
      <c r="I249" s="70"/>
      <c r="J249" s="70"/>
      <c r="K249" s="70"/>
    </row>
    <row r="250" spans="1:11" s="71" customFormat="1" ht="16.5" customHeight="1">
      <c r="A250" s="71">
        <v>181</v>
      </c>
      <c r="B250" s="430" t="s">
        <v>932</v>
      </c>
      <c r="C250" s="431"/>
      <c r="D250" s="138"/>
      <c r="E250" s="138"/>
      <c r="F250" s="138"/>
      <c r="G250" s="70">
        <v>12</v>
      </c>
      <c r="H250" s="70"/>
      <c r="I250" s="70"/>
      <c r="J250" s="70"/>
      <c r="K250" s="70"/>
    </row>
    <row r="251" spans="1:11" s="71" customFormat="1" ht="16.5" customHeight="1">
      <c r="A251" s="71">
        <v>182</v>
      </c>
      <c r="B251" s="430" t="s">
        <v>933</v>
      </c>
      <c r="C251" s="431"/>
      <c r="D251" s="138"/>
      <c r="E251" s="138"/>
      <c r="F251" s="138"/>
      <c r="G251" s="70">
        <v>24</v>
      </c>
      <c r="H251" s="70"/>
      <c r="I251" s="70"/>
      <c r="J251" s="70"/>
      <c r="K251" s="70"/>
    </row>
    <row r="252" spans="1:11" s="71" customFormat="1" ht="16.5" customHeight="1">
      <c r="A252" s="71">
        <v>183</v>
      </c>
      <c r="B252" s="430" t="s">
        <v>934</v>
      </c>
      <c r="C252" s="431"/>
      <c r="D252" s="138"/>
      <c r="E252" s="138"/>
      <c r="F252" s="138"/>
      <c r="G252" s="70">
        <v>12</v>
      </c>
      <c r="H252" s="70"/>
      <c r="I252" s="70"/>
      <c r="J252" s="70"/>
      <c r="K252" s="70"/>
    </row>
    <row r="253" spans="1:11" s="71" customFormat="1" ht="16.5" customHeight="1">
      <c r="A253" s="71">
        <v>184</v>
      </c>
      <c r="B253" s="430" t="s">
        <v>935</v>
      </c>
      <c r="C253" s="431"/>
      <c r="D253" s="138"/>
      <c r="E253" s="138"/>
      <c r="F253" s="138"/>
      <c r="G253" s="70">
        <v>24</v>
      </c>
      <c r="H253" s="70"/>
      <c r="I253" s="70"/>
      <c r="J253" s="70"/>
      <c r="K253" s="70"/>
    </row>
    <row r="254" spans="1:11" s="71" customFormat="1" ht="16.5" customHeight="1">
      <c r="A254" s="71">
        <v>185</v>
      </c>
      <c r="B254" s="430" t="s">
        <v>936</v>
      </c>
      <c r="C254" s="431"/>
      <c r="D254" s="138"/>
      <c r="E254" s="138"/>
      <c r="F254" s="138"/>
      <c r="G254" s="70">
        <v>15</v>
      </c>
      <c r="H254" s="70"/>
      <c r="I254" s="70"/>
      <c r="J254" s="70"/>
      <c r="K254" s="70"/>
    </row>
    <row r="255" spans="1:11" s="71" customFormat="1" ht="12.75">
      <c r="A255" s="120"/>
      <c r="B255" s="139"/>
      <c r="C255" s="223"/>
      <c r="D255" s="223"/>
      <c r="E255" s="223"/>
      <c r="F255" s="223"/>
      <c r="K255" s="182"/>
    </row>
    <row r="256" spans="1:11" s="71" customFormat="1" ht="34.5">
      <c r="A256" s="120"/>
      <c r="B256" s="139"/>
      <c r="C256" s="223"/>
      <c r="D256" s="223"/>
      <c r="E256" s="223"/>
      <c r="F256" s="223"/>
      <c r="G256" s="167">
        <f>SUM(G246:G254,G243:G244,G236:G241,G5:G234)</f>
        <v>5287.808149999998</v>
      </c>
      <c r="H256" s="167"/>
      <c r="I256" s="167"/>
      <c r="K256" s="182"/>
    </row>
    <row r="257" spans="1:11" s="71" customFormat="1" ht="12.75">
      <c r="A257" s="120"/>
      <c r="B257" s="140"/>
      <c r="C257" s="223"/>
      <c r="D257" s="223"/>
      <c r="E257" s="223"/>
      <c r="F257" s="223"/>
      <c r="K257" s="182"/>
    </row>
    <row r="259" ht="25.5">
      <c r="C259" s="15" t="s">
        <v>870</v>
      </c>
    </row>
    <row r="261" spans="2:3" ht="25.5">
      <c r="B261" s="198"/>
      <c r="C261" s="15" t="s">
        <v>866</v>
      </c>
    </row>
    <row r="263" spans="2:3" ht="12.75">
      <c r="B263" s="199"/>
      <c r="C263" s="15" t="s">
        <v>867</v>
      </c>
    </row>
    <row r="265" spans="2:3" ht="12.75">
      <c r="B265" s="200"/>
      <c r="C265" s="15" t="s">
        <v>868</v>
      </c>
    </row>
    <row r="267" spans="2:11" ht="12.75">
      <c r="B267" s="29" t="s">
        <v>853</v>
      </c>
      <c r="C267" s="15" t="s">
        <v>854</v>
      </c>
      <c r="K267" s="183" t="s">
        <v>869</v>
      </c>
    </row>
  </sheetData>
  <sheetProtection/>
  <mergeCells count="91">
    <mergeCell ref="A1:K1"/>
    <mergeCell ref="A4:C4"/>
    <mergeCell ref="A7:C7"/>
    <mergeCell ref="A9:C9"/>
    <mergeCell ref="A11:C11"/>
    <mergeCell ref="A13:C13"/>
    <mergeCell ref="A21:A22"/>
    <mergeCell ref="B21:B22"/>
    <mergeCell ref="A27:C27"/>
    <mergeCell ref="A34:C34"/>
    <mergeCell ref="A38:C38"/>
    <mergeCell ref="B55:C55"/>
    <mergeCell ref="A57:C57"/>
    <mergeCell ref="A61:C61"/>
    <mergeCell ref="A65:C65"/>
    <mergeCell ref="A42:C42"/>
    <mergeCell ref="A45:A46"/>
    <mergeCell ref="B45:B46"/>
    <mergeCell ref="A47:A48"/>
    <mergeCell ref="B47:B48"/>
    <mergeCell ref="A53:C53"/>
    <mergeCell ref="A69:C69"/>
    <mergeCell ref="A71:A72"/>
    <mergeCell ref="B71:B72"/>
    <mergeCell ref="A74:C74"/>
    <mergeCell ref="A78:C78"/>
    <mergeCell ref="A79:A80"/>
    <mergeCell ref="B79:B80"/>
    <mergeCell ref="A81:A82"/>
    <mergeCell ref="B81:B82"/>
    <mergeCell ref="A83:A84"/>
    <mergeCell ref="B83:B84"/>
    <mergeCell ref="A85:A86"/>
    <mergeCell ref="B85:B86"/>
    <mergeCell ref="A88:C88"/>
    <mergeCell ref="A94:A95"/>
    <mergeCell ref="B94:B95"/>
    <mergeCell ref="A99:C99"/>
    <mergeCell ref="A102:C102"/>
    <mergeCell ref="A104:C104"/>
    <mergeCell ref="A119:C119"/>
    <mergeCell ref="A122:C122"/>
    <mergeCell ref="A124:A125"/>
    <mergeCell ref="B124:B125"/>
    <mergeCell ref="A130:C130"/>
    <mergeCell ref="A106:C106"/>
    <mergeCell ref="A109:C109"/>
    <mergeCell ref="A111:C111"/>
    <mergeCell ref="A116:C116"/>
    <mergeCell ref="A134:C134"/>
    <mergeCell ref="A146:C146"/>
    <mergeCell ref="A147:A148"/>
    <mergeCell ref="B147:B148"/>
    <mergeCell ref="A154:C154"/>
    <mergeCell ref="A156:A157"/>
    <mergeCell ref="B156:B157"/>
    <mergeCell ref="A159:C159"/>
    <mergeCell ref="A163:C163"/>
    <mergeCell ref="A167:C167"/>
    <mergeCell ref="A172:C172"/>
    <mergeCell ref="A174:C174"/>
    <mergeCell ref="A177:C177"/>
    <mergeCell ref="A179:C179"/>
    <mergeCell ref="A183:C183"/>
    <mergeCell ref="A184:A185"/>
    <mergeCell ref="B184:B185"/>
    <mergeCell ref="A191:C191"/>
    <mergeCell ref="A196:C196"/>
    <mergeCell ref="A198:A199"/>
    <mergeCell ref="B198:B199"/>
    <mergeCell ref="A202:C202"/>
    <mergeCell ref="A205:C205"/>
    <mergeCell ref="A208:C208"/>
    <mergeCell ref="A211:A212"/>
    <mergeCell ref="B211:B212"/>
    <mergeCell ref="B254:C254"/>
    <mergeCell ref="A242:C242"/>
    <mergeCell ref="A245:C245"/>
    <mergeCell ref="A235:C235"/>
    <mergeCell ref="A213:A214"/>
    <mergeCell ref="B213:B214"/>
    <mergeCell ref="A215:A216"/>
    <mergeCell ref="B215:B216"/>
    <mergeCell ref="A222:C222"/>
    <mergeCell ref="A226:C226"/>
    <mergeCell ref="B248:C248"/>
    <mergeCell ref="B249:C249"/>
    <mergeCell ref="B250:C250"/>
    <mergeCell ref="B251:C251"/>
    <mergeCell ref="B252:C252"/>
    <mergeCell ref="B253:C253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7.00390625" style="0" customWidth="1"/>
    <col min="2" max="2" width="21.75390625" style="0" customWidth="1"/>
    <col min="3" max="3" width="13.125" style="0" customWidth="1"/>
    <col min="4" max="4" width="15.125" style="0" customWidth="1"/>
  </cols>
  <sheetData>
    <row r="1" spans="1:4" ht="15.75">
      <c r="A1" s="1" t="s">
        <v>287</v>
      </c>
      <c r="B1" s="9" t="s">
        <v>305</v>
      </c>
      <c r="C1" s="1" t="s">
        <v>239</v>
      </c>
      <c r="D1" s="1"/>
    </row>
    <row r="2" spans="1:4" ht="15.75">
      <c r="A2" s="1" t="s">
        <v>288</v>
      </c>
      <c r="B2" s="9" t="s">
        <v>306</v>
      </c>
      <c r="C2" s="7" t="s">
        <v>239</v>
      </c>
      <c r="D2" s="1"/>
    </row>
    <row r="3" spans="1:4" ht="15.75">
      <c r="A3" s="1" t="s">
        <v>289</v>
      </c>
      <c r="B3" s="9" t="s">
        <v>306</v>
      </c>
      <c r="C3" s="7" t="s">
        <v>239</v>
      </c>
      <c r="D3" s="1"/>
    </row>
    <row r="4" spans="1:4" ht="15.75">
      <c r="A4" s="1" t="s">
        <v>1173</v>
      </c>
      <c r="B4" s="9" t="s">
        <v>307</v>
      </c>
      <c r="C4" s="1" t="s">
        <v>239</v>
      </c>
      <c r="D4" s="1"/>
    </row>
    <row r="5" spans="1:4" ht="15.75">
      <c r="A5" s="1" t="s">
        <v>290</v>
      </c>
      <c r="B5" s="9" t="s">
        <v>308</v>
      </c>
      <c r="C5" s="1" t="s">
        <v>239</v>
      </c>
      <c r="D5" s="1"/>
    </row>
    <row r="6" spans="1:4" ht="15.75">
      <c r="A6" s="1" t="s">
        <v>291</v>
      </c>
      <c r="B6" s="9" t="s">
        <v>309</v>
      </c>
      <c r="C6" s="1" t="s">
        <v>241</v>
      </c>
      <c r="D6" s="1"/>
    </row>
    <row r="7" spans="1:4" ht="15.75">
      <c r="A7" s="1" t="s">
        <v>292</v>
      </c>
      <c r="B7" s="9" t="s">
        <v>310</v>
      </c>
      <c r="C7" s="1" t="s">
        <v>241</v>
      </c>
      <c r="D7" s="1"/>
    </row>
    <row r="8" spans="1:4" ht="15.75">
      <c r="A8" s="1" t="s">
        <v>293</v>
      </c>
      <c r="B8" s="9" t="s">
        <v>310</v>
      </c>
      <c r="C8" s="1" t="s">
        <v>241</v>
      </c>
      <c r="D8" s="1"/>
    </row>
    <row r="9" spans="1:4" ht="15.75">
      <c r="A9" s="1" t="s">
        <v>294</v>
      </c>
      <c r="B9" s="9" t="s">
        <v>310</v>
      </c>
      <c r="C9" s="1" t="s">
        <v>241</v>
      </c>
      <c r="D9" s="1"/>
    </row>
    <row r="10" spans="1:4" ht="15.75">
      <c r="A10" s="1" t="s">
        <v>295</v>
      </c>
      <c r="B10" s="9" t="s">
        <v>310</v>
      </c>
      <c r="C10" s="1" t="s">
        <v>241</v>
      </c>
      <c r="D10" s="1"/>
    </row>
    <row r="11" spans="1:4" ht="15.75">
      <c r="A11" s="1" t="s">
        <v>296</v>
      </c>
      <c r="B11" s="9" t="s">
        <v>311</v>
      </c>
      <c r="C11" s="1" t="s">
        <v>241</v>
      </c>
      <c r="D11" s="1"/>
    </row>
    <row r="12" spans="1:4" ht="15.75">
      <c r="A12" s="1" t="s">
        <v>297</v>
      </c>
      <c r="B12" s="9" t="s">
        <v>312</v>
      </c>
      <c r="C12" s="1" t="s">
        <v>241</v>
      </c>
      <c r="D12" s="1"/>
    </row>
    <row r="13" spans="1:4" ht="15.75">
      <c r="A13" s="1" t="s">
        <v>298</v>
      </c>
      <c r="B13" s="9" t="s">
        <v>312</v>
      </c>
      <c r="C13" s="1" t="s">
        <v>241</v>
      </c>
      <c r="D13" s="1"/>
    </row>
    <row r="14" spans="1:4" ht="15.75">
      <c r="A14" s="1" t="s">
        <v>299</v>
      </c>
      <c r="B14" s="9" t="s">
        <v>312</v>
      </c>
      <c r="C14" s="1" t="s">
        <v>241</v>
      </c>
      <c r="D14" s="1"/>
    </row>
    <row r="15" spans="1:4" ht="15.75">
      <c r="A15" s="1" t="s">
        <v>1172</v>
      </c>
      <c r="B15" s="9" t="s">
        <v>312</v>
      </c>
      <c r="C15" s="1" t="s">
        <v>241</v>
      </c>
      <c r="D15" s="1"/>
    </row>
    <row r="16" spans="1:4" ht="15.75">
      <c r="A16" s="1" t="s">
        <v>300</v>
      </c>
      <c r="B16" s="9" t="s">
        <v>313</v>
      </c>
      <c r="C16" s="1" t="s">
        <v>241</v>
      </c>
      <c r="D16" s="1"/>
    </row>
    <row r="17" spans="1:4" ht="15.75">
      <c r="A17" s="1" t="s">
        <v>301</v>
      </c>
      <c r="B17" s="9" t="s">
        <v>314</v>
      </c>
      <c r="C17" s="1" t="s">
        <v>241</v>
      </c>
      <c r="D17" s="1"/>
    </row>
    <row r="18" spans="1:4" ht="15.75">
      <c r="A18" s="1" t="s">
        <v>302</v>
      </c>
      <c r="B18" s="9" t="s">
        <v>315</v>
      </c>
      <c r="C18" s="1" t="s">
        <v>241</v>
      </c>
      <c r="D18" s="1"/>
    </row>
    <row r="19" spans="1:4" ht="15.75">
      <c r="A19" s="1" t="s">
        <v>303</v>
      </c>
      <c r="B19" s="9" t="s">
        <v>316</v>
      </c>
      <c r="C19" s="1" t="s">
        <v>241</v>
      </c>
      <c r="D19" s="1"/>
    </row>
    <row r="20" spans="1:4" ht="15.75">
      <c r="A20" s="1" t="s">
        <v>304</v>
      </c>
      <c r="B20" s="9" t="s">
        <v>317</v>
      </c>
      <c r="C20" s="1" t="s">
        <v>241</v>
      </c>
      <c r="D20" s="1"/>
    </row>
    <row r="24" spans="4:5" ht="12.75">
      <c r="D24">
        <f>1968.3+2572.7</f>
        <v>4541</v>
      </c>
      <c r="E24">
        <f>D24/D29</f>
        <v>0.5005290772011817</v>
      </c>
    </row>
    <row r="25" spans="4:5" ht="12.75">
      <c r="D25">
        <f>382.1+1208.1-18</f>
        <v>1572.1999999999998</v>
      </c>
      <c r="E25">
        <f>D25/D29</f>
        <v>0.17329482827035844</v>
      </c>
    </row>
    <row r="26" spans="4:5" ht="12.75">
      <c r="D26">
        <f>1049.1+535.9-30-141-24</f>
        <v>1390</v>
      </c>
      <c r="E26">
        <f>D26/D29</f>
        <v>0.15321193950884002</v>
      </c>
    </row>
    <row r="27" spans="4:5" ht="12.75">
      <c r="D27">
        <f>21+118.2-15-6-12-24-30-18</f>
        <v>34.19999999999999</v>
      </c>
      <c r="E27">
        <f>D27/D29</f>
        <v>0.00376967505841894</v>
      </c>
    </row>
    <row r="28" spans="4:5" ht="12.75">
      <c r="D28">
        <f>105.2+1069.6+360.2</f>
        <v>1535</v>
      </c>
      <c r="E28">
        <f>D28/D29</f>
        <v>0.16919447996120102</v>
      </c>
    </row>
    <row r="29" ht="12.75">
      <c r="D29">
        <f>SUM(D24:D28)</f>
        <v>9072.4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Dudchenko</cp:lastModifiedBy>
  <cp:lastPrinted>2022-01-31T04:29:24Z</cp:lastPrinted>
  <dcterms:created xsi:type="dcterms:W3CDTF">2008-11-28T22:35:34Z</dcterms:created>
  <dcterms:modified xsi:type="dcterms:W3CDTF">2023-03-31T04:04:32Z</dcterms:modified>
  <cp:category/>
  <cp:version/>
  <cp:contentType/>
  <cp:contentStatus/>
</cp:coreProperties>
</file>